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Armaturapilastri\"/>
    </mc:Choice>
  </mc:AlternateContent>
  <bookViews>
    <workbookView xWindow="0" yWindow="0" windowWidth="20490" windowHeight="7755"/>
  </bookViews>
  <sheets>
    <sheet name="Foglio1" sheetId="1" r:id="rId1"/>
    <sheet name="NODO" sheetId="4" r:id="rId2"/>
    <sheet name="telaio 6" sheetId="2" r:id="rId3"/>
    <sheet name="telaio 9" sheetId="3" r:id="rId4"/>
  </sheets>
  <externalReferences>
    <externalReference r:id="rId5"/>
    <externalReference r:id="rId6"/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4" l="1"/>
  <c r="S4" i="4"/>
  <c r="T4" i="4"/>
  <c r="T5" i="4"/>
  <c r="S8" i="4"/>
  <c r="T8" i="4"/>
  <c r="X8" i="4"/>
  <c r="Y8" i="4"/>
  <c r="AA8" i="4"/>
  <c r="AB8" i="4" s="1"/>
  <c r="AC8" i="4" s="1"/>
  <c r="AD8" i="4"/>
  <c r="AE8" i="4"/>
  <c r="T9" i="4"/>
  <c r="X9" i="4"/>
  <c r="AB9" i="4"/>
  <c r="AC9" i="4" s="1"/>
  <c r="S12" i="4"/>
  <c r="T12" i="4"/>
  <c r="X12" i="4"/>
  <c r="AB12" i="4"/>
  <c r="AC12" i="4" s="1"/>
  <c r="T13" i="4"/>
  <c r="X13" i="4"/>
  <c r="AB13" i="4"/>
  <c r="AC13" i="4" s="1"/>
  <c r="S16" i="4"/>
  <c r="T16" i="4"/>
  <c r="X16" i="4"/>
  <c r="AB16" i="4"/>
  <c r="AC16" i="4"/>
  <c r="T17" i="4"/>
  <c r="X17" i="4"/>
  <c r="AB17" i="4"/>
  <c r="AC17" i="4"/>
  <c r="S20" i="4"/>
  <c r="T20" i="4"/>
  <c r="X20" i="4"/>
  <c r="AB20" i="4"/>
  <c r="AC20" i="4"/>
  <c r="T21" i="4"/>
  <c r="X21" i="4"/>
  <c r="AB21" i="4"/>
  <c r="AC21" i="4"/>
  <c r="S24" i="4"/>
  <c r="T24" i="4"/>
  <c r="X24" i="4"/>
  <c r="AB24" i="4"/>
  <c r="AC24" i="4" s="1"/>
  <c r="T25" i="4"/>
  <c r="X25" i="4"/>
  <c r="AB25" i="4"/>
  <c r="AC25" i="4" s="1"/>
  <c r="J33" i="4" l="1"/>
  <c r="AP8" i="4" l="1"/>
  <c r="J4" i="4"/>
  <c r="K4" i="4"/>
  <c r="L4" i="4"/>
  <c r="M4" i="4"/>
  <c r="N4" i="4"/>
  <c r="O4" i="4"/>
  <c r="P4" i="4"/>
  <c r="Q4" i="4"/>
  <c r="L5" i="4"/>
  <c r="M5" i="4"/>
  <c r="N5" i="4"/>
  <c r="O5" i="4"/>
  <c r="P5" i="4"/>
  <c r="Q5" i="4"/>
  <c r="L6" i="4"/>
  <c r="M6" i="4"/>
  <c r="N6" i="4"/>
  <c r="O6" i="4"/>
  <c r="P6" i="4"/>
  <c r="Q6" i="4"/>
  <c r="L7" i="4"/>
  <c r="M7" i="4"/>
  <c r="N7" i="4"/>
  <c r="O7" i="4"/>
  <c r="P7" i="4"/>
  <c r="Q7" i="4"/>
  <c r="K8" i="4"/>
  <c r="L8" i="4"/>
  <c r="M8" i="4"/>
  <c r="N8" i="4"/>
  <c r="O8" i="4"/>
  <c r="P8" i="4"/>
  <c r="Q8" i="4"/>
  <c r="L9" i="4"/>
  <c r="M9" i="4"/>
  <c r="N9" i="4"/>
  <c r="O9" i="4"/>
  <c r="P9" i="4"/>
  <c r="Q9" i="4"/>
  <c r="L10" i="4"/>
  <c r="M10" i="4"/>
  <c r="N10" i="4"/>
  <c r="O10" i="4"/>
  <c r="P10" i="4"/>
  <c r="Q10" i="4"/>
  <c r="L11" i="4"/>
  <c r="M11" i="4"/>
  <c r="N11" i="4"/>
  <c r="O11" i="4"/>
  <c r="P11" i="4"/>
  <c r="Q11" i="4"/>
  <c r="K12" i="4"/>
  <c r="L12" i="4"/>
  <c r="M12" i="4"/>
  <c r="N12" i="4"/>
  <c r="O12" i="4"/>
  <c r="P12" i="4"/>
  <c r="Q12" i="4"/>
  <c r="L13" i="4"/>
  <c r="M13" i="4"/>
  <c r="N13" i="4"/>
  <c r="O13" i="4"/>
  <c r="P13" i="4"/>
  <c r="Q13" i="4"/>
  <c r="L14" i="4"/>
  <c r="M14" i="4"/>
  <c r="N14" i="4"/>
  <c r="O14" i="4"/>
  <c r="P14" i="4"/>
  <c r="Q14" i="4"/>
  <c r="L15" i="4"/>
  <c r="M15" i="4"/>
  <c r="N15" i="4"/>
  <c r="O15" i="4"/>
  <c r="P15" i="4"/>
  <c r="Q15" i="4"/>
  <c r="K16" i="4"/>
  <c r="L16" i="4"/>
  <c r="M16" i="4"/>
  <c r="N16" i="4"/>
  <c r="O16" i="4"/>
  <c r="P16" i="4"/>
  <c r="Q16" i="4"/>
  <c r="L17" i="4"/>
  <c r="M17" i="4"/>
  <c r="N17" i="4"/>
  <c r="O17" i="4"/>
  <c r="P17" i="4"/>
  <c r="Q17" i="4"/>
  <c r="L18" i="4"/>
  <c r="M18" i="4"/>
  <c r="N18" i="4"/>
  <c r="O18" i="4"/>
  <c r="P18" i="4"/>
  <c r="Q18" i="4"/>
  <c r="L19" i="4"/>
  <c r="M19" i="4"/>
  <c r="N19" i="4"/>
  <c r="O19" i="4"/>
  <c r="P19" i="4"/>
  <c r="Q19" i="4"/>
  <c r="K20" i="4"/>
  <c r="L20" i="4"/>
  <c r="M20" i="4"/>
  <c r="N20" i="4"/>
  <c r="O20" i="4"/>
  <c r="P20" i="4"/>
  <c r="Q20" i="4"/>
  <c r="L21" i="4"/>
  <c r="M21" i="4"/>
  <c r="N21" i="4"/>
  <c r="O21" i="4"/>
  <c r="P21" i="4"/>
  <c r="Q21" i="4"/>
  <c r="L22" i="4"/>
  <c r="M22" i="4"/>
  <c r="N22" i="4"/>
  <c r="O22" i="4"/>
  <c r="P22" i="4"/>
  <c r="Q22" i="4"/>
  <c r="L23" i="4"/>
  <c r="M23" i="4"/>
  <c r="N23" i="4"/>
  <c r="O23" i="4"/>
  <c r="P23" i="4"/>
  <c r="Q23" i="4"/>
  <c r="K24" i="4"/>
  <c r="L24" i="4"/>
  <c r="M24" i="4"/>
  <c r="N24" i="4"/>
  <c r="O24" i="4"/>
  <c r="P24" i="4"/>
  <c r="Q24" i="4"/>
  <c r="L25" i="4"/>
  <c r="M25" i="4"/>
  <c r="N25" i="4"/>
  <c r="O25" i="4"/>
  <c r="P25" i="4"/>
  <c r="Q25" i="4"/>
  <c r="L26" i="4"/>
  <c r="M26" i="4"/>
  <c r="N26" i="4"/>
  <c r="O26" i="4"/>
  <c r="P26" i="4"/>
  <c r="Q26" i="4"/>
  <c r="L27" i="4"/>
  <c r="M27" i="4"/>
  <c r="N27" i="4"/>
  <c r="O27" i="4"/>
  <c r="P27" i="4"/>
  <c r="Q27" i="4"/>
  <c r="A4" i="4"/>
  <c r="B4" i="4"/>
  <c r="C4" i="4"/>
  <c r="D4" i="4"/>
  <c r="E4" i="4"/>
  <c r="F4" i="4"/>
  <c r="G4" i="4"/>
  <c r="H4" i="4"/>
  <c r="B5" i="4"/>
  <c r="C5" i="4"/>
  <c r="D5" i="4"/>
  <c r="E5" i="4"/>
  <c r="F5" i="4"/>
  <c r="G5" i="4"/>
  <c r="H5" i="4"/>
  <c r="B6" i="4"/>
  <c r="C6" i="4"/>
  <c r="D6" i="4"/>
  <c r="E6" i="4"/>
  <c r="F6" i="4"/>
  <c r="G6" i="4"/>
  <c r="H6" i="4"/>
  <c r="B7" i="4"/>
  <c r="C7" i="4"/>
  <c r="D7" i="4"/>
  <c r="E7" i="4"/>
  <c r="F7" i="4"/>
  <c r="G7" i="4"/>
  <c r="H7" i="4"/>
  <c r="A8" i="4"/>
  <c r="B8" i="4"/>
  <c r="C8" i="4"/>
  <c r="D8" i="4"/>
  <c r="E8" i="4"/>
  <c r="F8" i="4"/>
  <c r="G8" i="4"/>
  <c r="H8" i="4"/>
  <c r="B9" i="4"/>
  <c r="C9" i="4"/>
  <c r="D9" i="4"/>
  <c r="E9" i="4"/>
  <c r="F9" i="4"/>
  <c r="G9" i="4"/>
  <c r="H9" i="4"/>
  <c r="B10" i="4"/>
  <c r="C10" i="4"/>
  <c r="D10" i="4"/>
  <c r="E10" i="4"/>
  <c r="F10" i="4"/>
  <c r="G10" i="4"/>
  <c r="H10" i="4"/>
  <c r="B11" i="4"/>
  <c r="C11" i="4"/>
  <c r="D11" i="4"/>
  <c r="E11" i="4"/>
  <c r="F11" i="4"/>
  <c r="G11" i="4"/>
  <c r="H11" i="4"/>
  <c r="A12" i="4"/>
  <c r="B12" i="4"/>
  <c r="C12" i="4"/>
  <c r="D12" i="4"/>
  <c r="E12" i="4"/>
  <c r="F12" i="4"/>
  <c r="G12" i="4"/>
  <c r="H12" i="4"/>
  <c r="B13" i="4"/>
  <c r="C13" i="4"/>
  <c r="D13" i="4"/>
  <c r="E13" i="4"/>
  <c r="F13" i="4"/>
  <c r="G13" i="4"/>
  <c r="H13" i="4"/>
  <c r="B14" i="4"/>
  <c r="C14" i="4"/>
  <c r="D14" i="4"/>
  <c r="E14" i="4"/>
  <c r="F14" i="4"/>
  <c r="G14" i="4"/>
  <c r="H14" i="4"/>
  <c r="B15" i="4"/>
  <c r="C15" i="4"/>
  <c r="D15" i="4"/>
  <c r="E15" i="4"/>
  <c r="F15" i="4"/>
  <c r="G15" i="4"/>
  <c r="H15" i="4"/>
  <c r="A16" i="4"/>
  <c r="B16" i="4"/>
  <c r="C16" i="4"/>
  <c r="D16" i="4"/>
  <c r="E16" i="4"/>
  <c r="F16" i="4"/>
  <c r="G16" i="4"/>
  <c r="H16" i="4"/>
  <c r="B17" i="4"/>
  <c r="C17" i="4"/>
  <c r="D17" i="4"/>
  <c r="E17" i="4"/>
  <c r="F17" i="4"/>
  <c r="G17" i="4"/>
  <c r="H17" i="4"/>
  <c r="B18" i="4"/>
  <c r="C18" i="4"/>
  <c r="D18" i="4"/>
  <c r="E18" i="4"/>
  <c r="F18" i="4"/>
  <c r="G18" i="4"/>
  <c r="H18" i="4"/>
  <c r="B19" i="4"/>
  <c r="C19" i="4"/>
  <c r="D19" i="4"/>
  <c r="E19" i="4"/>
  <c r="F19" i="4"/>
  <c r="G19" i="4"/>
  <c r="H19" i="4"/>
  <c r="A20" i="4"/>
  <c r="B20" i="4"/>
  <c r="C20" i="4"/>
  <c r="D20" i="4"/>
  <c r="E20" i="4"/>
  <c r="F20" i="4"/>
  <c r="G20" i="4"/>
  <c r="H20" i="4"/>
  <c r="B21" i="4"/>
  <c r="C21" i="4"/>
  <c r="D21" i="4"/>
  <c r="E21" i="4"/>
  <c r="F21" i="4"/>
  <c r="G21" i="4"/>
  <c r="H21" i="4"/>
  <c r="B22" i="4"/>
  <c r="C22" i="4"/>
  <c r="D22" i="4"/>
  <c r="E22" i="4"/>
  <c r="F22" i="4"/>
  <c r="G22" i="4"/>
  <c r="H22" i="4"/>
  <c r="B23" i="4"/>
  <c r="C23" i="4"/>
  <c r="D23" i="4"/>
  <c r="E23" i="4"/>
  <c r="F23" i="4"/>
  <c r="G23" i="4"/>
  <c r="H23" i="4"/>
  <c r="A24" i="4"/>
  <c r="B24" i="4"/>
  <c r="C24" i="4"/>
  <c r="D24" i="4"/>
  <c r="E24" i="4"/>
  <c r="F24" i="4"/>
  <c r="G24" i="4"/>
  <c r="H24" i="4"/>
  <c r="B25" i="4"/>
  <c r="C25" i="4"/>
  <c r="D25" i="4"/>
  <c r="E25" i="4"/>
  <c r="F25" i="4"/>
  <c r="G25" i="4"/>
  <c r="H25" i="4"/>
  <c r="B26" i="4"/>
  <c r="C26" i="4"/>
  <c r="D26" i="4"/>
  <c r="E26" i="4"/>
  <c r="F26" i="4"/>
  <c r="G26" i="4"/>
  <c r="H26" i="4"/>
  <c r="B27" i="4"/>
  <c r="C27" i="4"/>
  <c r="D27" i="4"/>
  <c r="E27" i="4"/>
  <c r="F27" i="4"/>
  <c r="G27" i="4"/>
  <c r="H27" i="4"/>
  <c r="AL24" i="4" l="1"/>
  <c r="AL20" i="4" l="1"/>
  <c r="AL16" i="4"/>
  <c r="AQ16" i="4"/>
  <c r="AL12" i="4"/>
  <c r="AL8" i="4"/>
  <c r="AH24" i="4"/>
  <c r="AQ21" i="4"/>
  <c r="AT20" i="4" s="1"/>
  <c r="AQ25" i="4"/>
  <c r="AT24" i="4" s="1"/>
  <c r="AH12" i="4"/>
  <c r="AQ9" i="4"/>
  <c r="AT8" i="4" s="1"/>
  <c r="AH8" i="4"/>
  <c r="AQ24" i="4"/>
  <c r="AH16" i="4"/>
  <c r="AQ13" i="4"/>
  <c r="AT12" i="4" s="1"/>
  <c r="AQ8" i="4"/>
  <c r="AQ17" i="4"/>
  <c r="AT16" i="4" s="1"/>
  <c r="AQ20" i="4"/>
  <c r="AH20" i="4"/>
  <c r="AQ12" i="4"/>
  <c r="T51" i="1"/>
  <c r="T53" i="1"/>
  <c r="T52" i="1"/>
  <c r="R58" i="1"/>
  <c r="R56" i="1"/>
  <c r="R57" i="1" s="1"/>
  <c r="X53" i="1"/>
  <c r="Y53" i="1"/>
  <c r="U53" i="1"/>
  <c r="X52" i="1"/>
  <c r="Y52" i="1"/>
  <c r="U52" i="1"/>
  <c r="X51" i="1"/>
  <c r="AA54" i="1" s="1"/>
  <c r="Y51" i="1"/>
  <c r="U51" i="1"/>
  <c r="X50" i="1"/>
  <c r="Y50" i="1"/>
  <c r="T50" i="1"/>
  <c r="U50" i="1"/>
  <c r="X49" i="1"/>
  <c r="Y49" i="1"/>
  <c r="T49" i="1"/>
  <c r="U49" i="1"/>
  <c r="X48" i="1"/>
  <c r="Y48" i="1"/>
  <c r="T48" i="1"/>
  <c r="U48" i="1"/>
  <c r="V54" i="1"/>
  <c r="W54" i="1"/>
  <c r="S54" i="1"/>
  <c r="R54" i="1"/>
  <c r="V53" i="1"/>
  <c r="V52" i="1"/>
  <c r="V51" i="1"/>
  <c r="V50" i="1"/>
  <c r="V49" i="1"/>
  <c r="V48" i="1"/>
  <c r="AA48" i="1" l="1"/>
  <c r="AA50" i="1"/>
  <c r="AA52" i="1"/>
  <c r="R59" i="1"/>
  <c r="AA51" i="1" s="1"/>
  <c r="AA58" i="1"/>
  <c r="AE59" i="1" s="1"/>
  <c r="AA56" i="1"/>
  <c r="AL106" i="3"/>
  <c r="AL107" i="3"/>
  <c r="S106" i="3"/>
  <c r="S107" i="3"/>
  <c r="AD104" i="3" s="1"/>
  <c r="AF104" i="3" s="1"/>
  <c r="B106" i="3"/>
  <c r="B107" i="3"/>
  <c r="C106" i="3" s="1"/>
  <c r="AL84" i="3"/>
  <c r="AM85" i="3" s="1"/>
  <c r="AL85" i="3"/>
  <c r="AW81" i="3" s="1"/>
  <c r="S84" i="3"/>
  <c r="T85" i="3" s="1"/>
  <c r="S85" i="3"/>
  <c r="B84" i="3"/>
  <c r="B85" i="3"/>
  <c r="AL60" i="3"/>
  <c r="AL61" i="3"/>
  <c r="S60" i="3"/>
  <c r="S61" i="3"/>
  <c r="B60" i="3"/>
  <c r="B61" i="3"/>
  <c r="AL36" i="3"/>
  <c r="AL37" i="3"/>
  <c r="S36" i="3"/>
  <c r="S37" i="3"/>
  <c r="B36" i="3"/>
  <c r="M34" i="3" s="1"/>
  <c r="O34" i="3" s="1"/>
  <c r="B37" i="3"/>
  <c r="AL12" i="3"/>
  <c r="AW9" i="3" s="1"/>
  <c r="AL13" i="3"/>
  <c r="T12" i="3"/>
  <c r="T13" i="3"/>
  <c r="B12" i="3"/>
  <c r="B13" i="3"/>
  <c r="AL114" i="3"/>
  <c r="AY108" i="3"/>
  <c r="AF108" i="3"/>
  <c r="O108" i="3"/>
  <c r="AM106" i="3"/>
  <c r="AM107" i="3"/>
  <c r="T107" i="3"/>
  <c r="AW104" i="3"/>
  <c r="AY104" i="3" s="1"/>
  <c r="AY103" i="3"/>
  <c r="AW103" i="3"/>
  <c r="AF103" i="3"/>
  <c r="O103" i="3"/>
  <c r="AL100" i="3"/>
  <c r="AW105" i="3" s="1"/>
  <c r="S100" i="3"/>
  <c r="B100" i="3"/>
  <c r="AL92" i="3"/>
  <c r="AY86" i="3"/>
  <c r="AF86" i="3"/>
  <c r="O86" i="3"/>
  <c r="T84" i="3"/>
  <c r="C85" i="3"/>
  <c r="M82" i="3"/>
  <c r="O82" i="3" s="1"/>
  <c r="AY81" i="3"/>
  <c r="AF81" i="3"/>
  <c r="O81" i="3"/>
  <c r="AL78" i="3"/>
  <c r="AW83" i="3" s="1"/>
  <c r="S78" i="3"/>
  <c r="B78" i="3"/>
  <c r="M83" i="3" s="1"/>
  <c r="AL68" i="3"/>
  <c r="AY62" i="3"/>
  <c r="AF62" i="3"/>
  <c r="O62" i="3"/>
  <c r="T61" i="3"/>
  <c r="C60" i="3"/>
  <c r="AM60" i="3"/>
  <c r="AM61" i="3"/>
  <c r="T60" i="3"/>
  <c r="B68" i="3"/>
  <c r="AW58" i="3"/>
  <c r="AY58" i="3" s="1"/>
  <c r="M58" i="3"/>
  <c r="O58" i="3" s="1"/>
  <c r="AY57" i="3"/>
  <c r="AW57" i="3"/>
  <c r="AF57" i="3"/>
  <c r="O57" i="3"/>
  <c r="M57" i="3"/>
  <c r="AL54" i="3"/>
  <c r="AW59" i="3" s="1"/>
  <c r="S54" i="3"/>
  <c r="B54" i="3"/>
  <c r="M59" i="3" s="1"/>
  <c r="AY38" i="3"/>
  <c r="AF38" i="3"/>
  <c r="O38" i="3"/>
  <c r="AM37" i="3"/>
  <c r="T37" i="3"/>
  <c r="AD39" i="3" s="1"/>
  <c r="AF39" i="3" s="1"/>
  <c r="AL44" i="3"/>
  <c r="T36" i="3"/>
  <c r="T44" i="3" s="1"/>
  <c r="C36" i="3"/>
  <c r="C37" i="3"/>
  <c r="AY33" i="3"/>
  <c r="AF33" i="3"/>
  <c r="O33" i="3"/>
  <c r="AL30" i="3"/>
  <c r="AW35" i="3" s="1"/>
  <c r="S30" i="3"/>
  <c r="B30" i="3"/>
  <c r="M35" i="3" s="1"/>
  <c r="AY14" i="3"/>
  <c r="AG14" i="3"/>
  <c r="O14" i="3"/>
  <c r="U13" i="3"/>
  <c r="AE15" i="3" s="1"/>
  <c r="AG15" i="3" s="1"/>
  <c r="AM12" i="3"/>
  <c r="AM13" i="3"/>
  <c r="U12" i="3"/>
  <c r="C13" i="3"/>
  <c r="AY9" i="3"/>
  <c r="AG9" i="3"/>
  <c r="AE9" i="3"/>
  <c r="O9" i="3"/>
  <c r="AL6" i="3"/>
  <c r="T6" i="3"/>
  <c r="AE11" i="3" s="1"/>
  <c r="B6" i="3"/>
  <c r="M11" i="3" s="1"/>
  <c r="S106" i="2"/>
  <c r="S107" i="2"/>
  <c r="B106" i="2"/>
  <c r="C107" i="2" s="1"/>
  <c r="B107" i="2"/>
  <c r="S84" i="2"/>
  <c r="S85" i="2"/>
  <c r="B84" i="2"/>
  <c r="B85" i="2"/>
  <c r="S60" i="2"/>
  <c r="S61" i="2"/>
  <c r="B60" i="2"/>
  <c r="C61" i="2" s="1"/>
  <c r="B61" i="2"/>
  <c r="S36" i="2"/>
  <c r="S37" i="2"/>
  <c r="B36" i="2"/>
  <c r="B37" i="2"/>
  <c r="C36" i="2" s="1"/>
  <c r="T12" i="2"/>
  <c r="T13" i="2"/>
  <c r="B12" i="2"/>
  <c r="B13" i="2"/>
  <c r="C12" i="2" s="1"/>
  <c r="C20" i="2" s="1"/>
  <c r="AF108" i="2"/>
  <c r="O108" i="2"/>
  <c r="T107" i="2"/>
  <c r="AD109" i="2" s="1"/>
  <c r="AF109" i="2" s="1"/>
  <c r="T106" i="2"/>
  <c r="C106" i="2"/>
  <c r="M110" i="2" s="1"/>
  <c r="AF103" i="2"/>
  <c r="O103" i="2"/>
  <c r="M103" i="2"/>
  <c r="S100" i="2"/>
  <c r="B100" i="2"/>
  <c r="M105" i="2" s="1"/>
  <c r="AF86" i="2"/>
  <c r="O86" i="2"/>
  <c r="T85" i="2"/>
  <c r="T84" i="2"/>
  <c r="C84" i="2"/>
  <c r="C85" i="2"/>
  <c r="O82" i="2"/>
  <c r="M82" i="2"/>
  <c r="AF81" i="2"/>
  <c r="O81" i="2"/>
  <c r="M81" i="2"/>
  <c r="S78" i="2"/>
  <c r="B78" i="2"/>
  <c r="M83" i="2" s="1"/>
  <c r="AF62" i="2"/>
  <c r="O62" i="2"/>
  <c r="T60" i="2"/>
  <c r="T68" i="2" s="1"/>
  <c r="C60" i="2"/>
  <c r="M58" i="2"/>
  <c r="O58" i="2" s="1"/>
  <c r="AF57" i="2"/>
  <c r="O57" i="2"/>
  <c r="S54" i="2"/>
  <c r="B54" i="2"/>
  <c r="M59" i="2" s="1"/>
  <c r="AF38" i="2"/>
  <c r="O38" i="2"/>
  <c r="T36" i="2"/>
  <c r="T44" i="2" s="1"/>
  <c r="T37" i="2"/>
  <c r="B44" i="2"/>
  <c r="AF33" i="2"/>
  <c r="O33" i="2"/>
  <c r="S30" i="2"/>
  <c r="B30" i="2"/>
  <c r="AG14" i="2"/>
  <c r="O14" i="2"/>
  <c r="U12" i="2"/>
  <c r="U20" i="2" s="1"/>
  <c r="U13" i="2"/>
  <c r="B20" i="2"/>
  <c r="M10" i="2"/>
  <c r="O10" i="2" s="1"/>
  <c r="AG9" i="2"/>
  <c r="O9" i="2"/>
  <c r="M9" i="2"/>
  <c r="T6" i="2"/>
  <c r="B6" i="2"/>
  <c r="M11" i="2" s="1"/>
  <c r="L40" i="1"/>
  <c r="AW10" i="3" l="1"/>
  <c r="AY10" i="3" s="1"/>
  <c r="M40" i="3"/>
  <c r="AA55" i="1"/>
  <c r="AA49" i="1"/>
  <c r="M84" i="2"/>
  <c r="B86" i="2" s="1"/>
  <c r="M88" i="2"/>
  <c r="AD38" i="3"/>
  <c r="AW82" i="3"/>
  <c r="AY82" i="3" s="1"/>
  <c r="AW84" i="3" s="1"/>
  <c r="AL86" i="3" s="1"/>
  <c r="AL87" i="3" s="1"/>
  <c r="AL88" i="3" s="1"/>
  <c r="AL89" i="3" s="1"/>
  <c r="AL91" i="3" s="1"/>
  <c r="AM84" i="3"/>
  <c r="T106" i="3"/>
  <c r="AA53" i="1"/>
  <c r="AA57" i="1"/>
  <c r="AA59" i="1"/>
  <c r="AE58" i="1" s="1"/>
  <c r="AD86" i="2"/>
  <c r="AW11" i="3"/>
  <c r="AE14" i="3"/>
  <c r="U20" i="3"/>
  <c r="M33" i="3"/>
  <c r="AD103" i="3"/>
  <c r="AW106" i="3"/>
  <c r="AL108" i="3" s="1"/>
  <c r="AL109" i="3" s="1"/>
  <c r="AL110" i="3" s="1"/>
  <c r="AL111" i="3" s="1"/>
  <c r="AL113" i="3" s="1"/>
  <c r="AL116" i="3" s="1"/>
  <c r="X10" i="1" s="1"/>
  <c r="AW60" i="3"/>
  <c r="AL62" i="3" s="1"/>
  <c r="AL63" i="3" s="1"/>
  <c r="AL64" i="3" s="1"/>
  <c r="AL65" i="3" s="1"/>
  <c r="AL67" i="3" s="1"/>
  <c r="AW34" i="3"/>
  <c r="AY34" i="3" s="1"/>
  <c r="AW36" i="3"/>
  <c r="AL38" i="3" s="1"/>
  <c r="AL39" i="3" s="1"/>
  <c r="AL40" i="3" s="1"/>
  <c r="AL41" i="3" s="1"/>
  <c r="AL43" i="3" s="1"/>
  <c r="AW33" i="3"/>
  <c r="AM36" i="3"/>
  <c r="M36" i="3"/>
  <c r="B38" i="3" s="1"/>
  <c r="B39" i="3" s="1"/>
  <c r="B40" i="3" s="1"/>
  <c r="B41" i="3" s="1"/>
  <c r="B43" i="3" s="1"/>
  <c r="AW12" i="3"/>
  <c r="AL14" i="3" s="1"/>
  <c r="AL18" i="3" s="1"/>
  <c r="M10" i="3"/>
  <c r="O10" i="3" s="1"/>
  <c r="C12" i="3"/>
  <c r="C20" i="3" s="1"/>
  <c r="M9" i="3"/>
  <c r="AL112" i="3"/>
  <c r="AD63" i="3"/>
  <c r="AF63" i="3" s="1"/>
  <c r="T20" i="3"/>
  <c r="AE10" i="3"/>
  <c r="AG10" i="3" s="1"/>
  <c r="AE12" i="3" s="1"/>
  <c r="T14" i="3" s="1"/>
  <c r="M39" i="3"/>
  <c r="O39" i="3" s="1"/>
  <c r="M41" i="3" s="1"/>
  <c r="C38" i="3" s="1"/>
  <c r="M60" i="3"/>
  <c r="B62" i="3" s="1"/>
  <c r="AW63" i="3"/>
  <c r="AY63" i="3" s="1"/>
  <c r="M16" i="3"/>
  <c r="M14" i="3"/>
  <c r="C107" i="3"/>
  <c r="M108" i="3" s="1"/>
  <c r="M105" i="3"/>
  <c r="M106" i="3" s="1"/>
  <c r="B108" i="3" s="1"/>
  <c r="B114" i="3"/>
  <c r="M104" i="3"/>
  <c r="O104" i="3" s="1"/>
  <c r="M103" i="3"/>
  <c r="M12" i="3"/>
  <c r="B14" i="3" s="1"/>
  <c r="B42" i="3"/>
  <c r="AW38" i="3"/>
  <c r="AM44" i="3"/>
  <c r="AW40" i="3"/>
  <c r="AW39" i="3"/>
  <c r="AY39" i="3" s="1"/>
  <c r="AW62" i="3"/>
  <c r="AM68" i="3"/>
  <c r="AW64" i="3"/>
  <c r="AW65" i="3" s="1"/>
  <c r="AM62" i="3" s="1"/>
  <c r="M64" i="3"/>
  <c r="C68" i="3"/>
  <c r="AL66" i="3"/>
  <c r="C84" i="3"/>
  <c r="M81" i="3"/>
  <c r="AW14" i="3"/>
  <c r="AM20" i="3"/>
  <c r="AW16" i="3"/>
  <c r="M15" i="3"/>
  <c r="O15" i="3" s="1"/>
  <c r="AW15" i="3"/>
  <c r="AY15" i="3" s="1"/>
  <c r="S44" i="3"/>
  <c r="AD34" i="3"/>
  <c r="AF34" i="3" s="1"/>
  <c r="AD33" i="3"/>
  <c r="AD35" i="3"/>
  <c r="AD36" i="3" s="1"/>
  <c r="S38" i="3" s="1"/>
  <c r="S68" i="3"/>
  <c r="AD58" i="3"/>
  <c r="AF58" i="3" s="1"/>
  <c r="AD57" i="3"/>
  <c r="AD59" i="3"/>
  <c r="AD60" i="3" s="1"/>
  <c r="S62" i="3" s="1"/>
  <c r="M84" i="3"/>
  <c r="B86" i="3" s="1"/>
  <c r="AW87" i="3"/>
  <c r="AY87" i="3" s="1"/>
  <c r="B20" i="3"/>
  <c r="AL20" i="3"/>
  <c r="B44" i="3"/>
  <c r="T68" i="3"/>
  <c r="AD62" i="3"/>
  <c r="AD64" i="3"/>
  <c r="AD65" i="3" s="1"/>
  <c r="T62" i="3" s="1"/>
  <c r="M87" i="3"/>
  <c r="O87" i="3" s="1"/>
  <c r="AD109" i="3"/>
  <c r="AF109" i="3" s="1"/>
  <c r="AW108" i="3"/>
  <c r="AM114" i="3"/>
  <c r="AE16" i="3"/>
  <c r="AE17" i="3" s="1"/>
  <c r="U14" i="3" s="1"/>
  <c r="AD40" i="3"/>
  <c r="AD41" i="3" s="1"/>
  <c r="T38" i="3" s="1"/>
  <c r="C44" i="3"/>
  <c r="C61" i="3"/>
  <c r="AD87" i="3"/>
  <c r="AF87" i="3" s="1"/>
  <c r="AW86" i="3"/>
  <c r="AM92" i="3"/>
  <c r="T114" i="3"/>
  <c r="AD108" i="3"/>
  <c r="AD110" i="3"/>
  <c r="AW110" i="3"/>
  <c r="M38" i="3"/>
  <c r="T92" i="3"/>
  <c r="AD86" i="3"/>
  <c r="AD88" i="3"/>
  <c r="AW88" i="3"/>
  <c r="AW89" i="3" s="1"/>
  <c r="AM86" i="3" s="1"/>
  <c r="B92" i="3"/>
  <c r="AW109" i="3"/>
  <c r="AY109" i="3" s="1"/>
  <c r="M110" i="3"/>
  <c r="C114" i="3"/>
  <c r="AD83" i="3"/>
  <c r="AD84" i="3" s="1"/>
  <c r="S86" i="3" s="1"/>
  <c r="AD105" i="3"/>
  <c r="AD106" i="3" s="1"/>
  <c r="S108" i="3" s="1"/>
  <c r="AD81" i="3"/>
  <c r="AD82" i="3"/>
  <c r="AF82" i="3" s="1"/>
  <c r="S92" i="3"/>
  <c r="S114" i="3"/>
  <c r="AD108" i="2"/>
  <c r="T114" i="2"/>
  <c r="M104" i="2"/>
  <c r="O104" i="2" s="1"/>
  <c r="M106" i="2" s="1"/>
  <c r="B108" i="2" s="1"/>
  <c r="AD87" i="2"/>
  <c r="AF87" i="2" s="1"/>
  <c r="T92" i="2"/>
  <c r="M57" i="2"/>
  <c r="M34" i="2"/>
  <c r="O34" i="2" s="1"/>
  <c r="M12" i="2"/>
  <c r="B14" i="2" s="1"/>
  <c r="B15" i="2" s="1"/>
  <c r="B16" i="2" s="1"/>
  <c r="B17" i="2" s="1"/>
  <c r="B19" i="2" s="1"/>
  <c r="AD35" i="2"/>
  <c r="AD40" i="2"/>
  <c r="AD41" i="2" s="1"/>
  <c r="T38" i="2" s="1"/>
  <c r="M35" i="2"/>
  <c r="M36" i="2" s="1"/>
  <c r="B38" i="2" s="1"/>
  <c r="B42" i="2" s="1"/>
  <c r="M33" i="2"/>
  <c r="C37" i="2"/>
  <c r="M38" i="2" s="1"/>
  <c r="AE16" i="2"/>
  <c r="AE9" i="2"/>
  <c r="C13" i="2"/>
  <c r="M14" i="2" s="1"/>
  <c r="C44" i="2"/>
  <c r="M40" i="2"/>
  <c r="AE11" i="2"/>
  <c r="AD39" i="2"/>
  <c r="AF39" i="2" s="1"/>
  <c r="AE15" i="2"/>
  <c r="AG15" i="2" s="1"/>
  <c r="AE17" i="2" s="1"/>
  <c r="U14" i="2" s="1"/>
  <c r="M16" i="2"/>
  <c r="M15" i="2"/>
  <c r="O15" i="2" s="1"/>
  <c r="S68" i="2"/>
  <c r="AD58" i="2"/>
  <c r="AF58" i="2" s="1"/>
  <c r="AD59" i="2"/>
  <c r="AE10" i="2"/>
  <c r="AG10" i="2" s="1"/>
  <c r="AE14" i="2"/>
  <c r="T20" i="2"/>
  <c r="AD33" i="2"/>
  <c r="AD34" i="2"/>
  <c r="AF34" i="2" s="1"/>
  <c r="AD38" i="2"/>
  <c r="S44" i="2"/>
  <c r="AD57" i="2"/>
  <c r="T61" i="2"/>
  <c r="AD62" i="2" s="1"/>
  <c r="M87" i="2"/>
  <c r="O87" i="2" s="1"/>
  <c r="M89" i="2" s="1"/>
  <c r="C86" i="2" s="1"/>
  <c r="M109" i="2"/>
  <c r="O109" i="2" s="1"/>
  <c r="M111" i="2" s="1"/>
  <c r="C108" i="2" s="1"/>
  <c r="M63" i="2"/>
  <c r="O63" i="2" s="1"/>
  <c r="B90" i="2"/>
  <c r="B87" i="2"/>
  <c r="B88" i="2" s="1"/>
  <c r="B89" i="2" s="1"/>
  <c r="B91" i="2" s="1"/>
  <c r="M60" i="2"/>
  <c r="B62" i="2" s="1"/>
  <c r="M64" i="2"/>
  <c r="S92" i="2"/>
  <c r="AD82" i="2"/>
  <c r="AF82" i="2" s="1"/>
  <c r="AD81" i="2"/>
  <c r="AD83" i="2"/>
  <c r="S114" i="2"/>
  <c r="AD104" i="2"/>
  <c r="AF104" i="2" s="1"/>
  <c r="AD103" i="2"/>
  <c r="AD105" i="2"/>
  <c r="B68" i="2"/>
  <c r="B92" i="2"/>
  <c r="B114" i="2"/>
  <c r="AD64" i="2"/>
  <c r="C68" i="2"/>
  <c r="AD88" i="2"/>
  <c r="AD89" i="2" s="1"/>
  <c r="T86" i="2" s="1"/>
  <c r="C92" i="2"/>
  <c r="AD110" i="2"/>
  <c r="AD111" i="2" s="1"/>
  <c r="T108" i="2" s="1"/>
  <c r="C114" i="2"/>
  <c r="M62" i="2"/>
  <c r="M86" i="2"/>
  <c r="M108" i="2"/>
  <c r="B109" i="2" l="1"/>
  <c r="B110" i="2" s="1"/>
  <c r="B111" i="2" s="1"/>
  <c r="B113" i="2" s="1"/>
  <c r="B112" i="2"/>
  <c r="AD36" i="2"/>
  <c r="S38" i="2" s="1"/>
  <c r="M39" i="2"/>
  <c r="O39" i="2" s="1"/>
  <c r="M41" i="2" s="1"/>
  <c r="C38" i="2" s="1"/>
  <c r="AL42" i="3"/>
  <c r="AW111" i="3"/>
  <c r="AM108" i="3" s="1"/>
  <c r="AM112" i="3" s="1"/>
  <c r="AL90" i="3"/>
  <c r="AL94" i="3" s="1"/>
  <c r="X17" i="1" s="1"/>
  <c r="AD89" i="3"/>
  <c r="T86" i="3" s="1"/>
  <c r="T87" i="3" s="1"/>
  <c r="T88" i="3" s="1"/>
  <c r="T89" i="3" s="1"/>
  <c r="T91" i="3" s="1"/>
  <c r="T93" i="3" s="1"/>
  <c r="AL70" i="3"/>
  <c r="X24" i="1" s="1"/>
  <c r="AL15" i="3"/>
  <c r="AL16" i="3" s="1"/>
  <c r="AL17" i="3" s="1"/>
  <c r="AL19" i="3" s="1"/>
  <c r="AL22" i="3" s="1"/>
  <c r="X38" i="1" s="1"/>
  <c r="AW17" i="3"/>
  <c r="AM14" i="3" s="1"/>
  <c r="AM18" i="3" s="1"/>
  <c r="T18" i="3"/>
  <c r="T22" i="3" s="1"/>
  <c r="T15" i="3"/>
  <c r="T16" i="3" s="1"/>
  <c r="T17" i="3" s="1"/>
  <c r="T19" i="3" s="1"/>
  <c r="AL45" i="3"/>
  <c r="AL46" i="3"/>
  <c r="X31" i="1" s="1"/>
  <c r="AM90" i="3"/>
  <c r="AM87" i="3"/>
  <c r="AM88" i="3" s="1"/>
  <c r="AM89" i="3" s="1"/>
  <c r="AM91" i="3" s="1"/>
  <c r="T39" i="3"/>
  <c r="T40" i="3" s="1"/>
  <c r="T41" i="3" s="1"/>
  <c r="T43" i="3" s="1"/>
  <c r="T42" i="3"/>
  <c r="T69" i="3"/>
  <c r="AM15" i="3"/>
  <c r="AM16" i="3" s="1"/>
  <c r="AM17" i="3" s="1"/>
  <c r="AM19" i="3" s="1"/>
  <c r="C42" i="3"/>
  <c r="C39" i="3"/>
  <c r="C40" i="3" s="1"/>
  <c r="C41" i="3" s="1"/>
  <c r="C43" i="3" s="1"/>
  <c r="C46" i="3" s="1"/>
  <c r="U30" i="1" s="1"/>
  <c r="AM109" i="3"/>
  <c r="AM110" i="3" s="1"/>
  <c r="AM111" i="3" s="1"/>
  <c r="AM113" i="3" s="1"/>
  <c r="AD111" i="3"/>
  <c r="T108" i="3" s="1"/>
  <c r="U15" i="3"/>
  <c r="U16" i="3" s="1"/>
  <c r="U17" i="3" s="1"/>
  <c r="U19" i="3" s="1"/>
  <c r="U18" i="3"/>
  <c r="B46" i="3"/>
  <c r="U31" i="1" s="1"/>
  <c r="L55" i="1" s="1"/>
  <c r="B45" i="3"/>
  <c r="B90" i="3"/>
  <c r="B87" i="3"/>
  <c r="B88" i="3" s="1"/>
  <c r="B89" i="3" s="1"/>
  <c r="B91" i="3" s="1"/>
  <c r="B93" i="3" s="1"/>
  <c r="S66" i="3"/>
  <c r="S70" i="3" s="1"/>
  <c r="V24" i="1" s="1"/>
  <c r="S63" i="3"/>
  <c r="S64" i="3" s="1"/>
  <c r="S65" i="3" s="1"/>
  <c r="S67" i="3" s="1"/>
  <c r="S42" i="3"/>
  <c r="S39" i="3"/>
  <c r="S40" i="3" s="1"/>
  <c r="S41" i="3" s="1"/>
  <c r="S43" i="3" s="1"/>
  <c r="AM66" i="3"/>
  <c r="AM63" i="3"/>
  <c r="AM64" i="3" s="1"/>
  <c r="AM65" i="3" s="1"/>
  <c r="AM67" i="3" s="1"/>
  <c r="AW41" i="3"/>
  <c r="AM38" i="3" s="1"/>
  <c r="M109" i="3"/>
  <c r="O109" i="3" s="1"/>
  <c r="T90" i="3"/>
  <c r="AL93" i="3"/>
  <c r="M88" i="3"/>
  <c r="M89" i="3" s="1"/>
  <c r="C86" i="3" s="1"/>
  <c r="M86" i="3"/>
  <c r="C92" i="3"/>
  <c r="B18" i="3"/>
  <c r="B15" i="3"/>
  <c r="B16" i="3" s="1"/>
  <c r="B17" i="3" s="1"/>
  <c r="B19" i="3" s="1"/>
  <c r="B22" i="3" s="1"/>
  <c r="U38" i="1" s="1"/>
  <c r="L57" i="1" s="1"/>
  <c r="AL115" i="3"/>
  <c r="T66" i="3"/>
  <c r="T63" i="3"/>
  <c r="T64" i="3" s="1"/>
  <c r="T65" i="3" s="1"/>
  <c r="T67" i="3" s="1"/>
  <c r="T70" i="3" s="1"/>
  <c r="V23" i="1" s="1"/>
  <c r="W23" i="1" s="1"/>
  <c r="AL21" i="3"/>
  <c r="AL69" i="3"/>
  <c r="M17" i="3"/>
  <c r="C14" i="3" s="1"/>
  <c r="S90" i="3"/>
  <c r="S87" i="3"/>
  <c r="S88" i="3" s="1"/>
  <c r="S89" i="3" s="1"/>
  <c r="S91" i="3" s="1"/>
  <c r="S94" i="3" s="1"/>
  <c r="M111" i="3"/>
  <c r="C108" i="3" s="1"/>
  <c r="M65" i="3"/>
  <c r="C62" i="3" s="1"/>
  <c r="B112" i="3"/>
  <c r="B109" i="3"/>
  <c r="B110" i="3" s="1"/>
  <c r="B111" i="3" s="1"/>
  <c r="B113" i="3" s="1"/>
  <c r="B115" i="3" s="1"/>
  <c r="S112" i="3"/>
  <c r="S115" i="3" s="1"/>
  <c r="S109" i="3"/>
  <c r="S110" i="3" s="1"/>
  <c r="S111" i="3" s="1"/>
  <c r="S113" i="3" s="1"/>
  <c r="M63" i="3"/>
  <c r="O63" i="3" s="1"/>
  <c r="M62" i="3"/>
  <c r="B66" i="3"/>
  <c r="B63" i="3"/>
  <c r="B64" i="3" s="1"/>
  <c r="B65" i="3" s="1"/>
  <c r="B67" i="3" s="1"/>
  <c r="B39" i="2"/>
  <c r="B40" i="2" s="1"/>
  <c r="B41" i="2" s="1"/>
  <c r="B43" i="2" s="1"/>
  <c r="B46" i="2" s="1"/>
  <c r="G31" i="1" s="1"/>
  <c r="I55" i="1" s="1"/>
  <c r="B18" i="2"/>
  <c r="B21" i="2" s="1"/>
  <c r="T109" i="2"/>
  <c r="T110" i="2" s="1"/>
  <c r="T111" i="2" s="1"/>
  <c r="T113" i="2" s="1"/>
  <c r="T112" i="2"/>
  <c r="U18" i="2"/>
  <c r="U15" i="2"/>
  <c r="U16" i="2" s="1"/>
  <c r="U17" i="2" s="1"/>
  <c r="U19" i="2" s="1"/>
  <c r="B94" i="2"/>
  <c r="G17" i="1" s="1"/>
  <c r="I51" i="1" s="1"/>
  <c r="B93" i="2"/>
  <c r="AD84" i="2"/>
  <c r="S86" i="2" s="1"/>
  <c r="M17" i="2"/>
  <c r="C14" i="2" s="1"/>
  <c r="AE12" i="2"/>
  <c r="T14" i="2" s="1"/>
  <c r="T87" i="2"/>
  <c r="T88" i="2" s="1"/>
  <c r="T89" i="2" s="1"/>
  <c r="T91" i="2" s="1"/>
  <c r="T90" i="2"/>
  <c r="AD106" i="2"/>
  <c r="S108" i="2" s="1"/>
  <c r="M65" i="2"/>
  <c r="C62" i="2" s="1"/>
  <c r="AD63" i="2"/>
  <c r="AF63" i="2" s="1"/>
  <c r="AD65" i="2" s="1"/>
  <c r="T62" i="2" s="1"/>
  <c r="S39" i="2"/>
  <c r="S40" i="2" s="1"/>
  <c r="S41" i="2" s="1"/>
  <c r="S43" i="2" s="1"/>
  <c r="S46" i="2" s="1"/>
  <c r="H31" i="1" s="1"/>
  <c r="S42" i="2"/>
  <c r="T42" i="2"/>
  <c r="T39" i="2"/>
  <c r="T40" i="2" s="1"/>
  <c r="T41" i="2" s="1"/>
  <c r="T43" i="2" s="1"/>
  <c r="B116" i="2"/>
  <c r="G10" i="1" s="1"/>
  <c r="I49" i="1" s="1"/>
  <c r="B115" i="2"/>
  <c r="B66" i="2"/>
  <c r="B63" i="2"/>
  <c r="B64" i="2" s="1"/>
  <c r="B65" i="2" s="1"/>
  <c r="B67" i="2" s="1"/>
  <c r="B70" i="2" s="1"/>
  <c r="G24" i="1" s="1"/>
  <c r="I53" i="1" s="1"/>
  <c r="C112" i="2"/>
  <c r="C109" i="2"/>
  <c r="C110" i="2" s="1"/>
  <c r="C111" i="2" s="1"/>
  <c r="C113" i="2" s="1"/>
  <c r="C90" i="2"/>
  <c r="C87" i="2"/>
  <c r="C88" i="2" s="1"/>
  <c r="C89" i="2" s="1"/>
  <c r="C91" i="2" s="1"/>
  <c r="C94" i="2" s="1"/>
  <c r="G16" i="1" s="1"/>
  <c r="AD60" i="2"/>
  <c r="S62" i="2" s="1"/>
  <c r="V38" i="1" l="1"/>
  <c r="W38" i="1"/>
  <c r="W24" i="1"/>
  <c r="V26" i="1"/>
  <c r="W17" i="1"/>
  <c r="V17" i="1"/>
  <c r="S69" i="3"/>
  <c r="L54" i="1"/>
  <c r="M54" i="1" s="1"/>
  <c r="U33" i="1"/>
  <c r="C93" i="2"/>
  <c r="S46" i="3"/>
  <c r="I50" i="1"/>
  <c r="J50" i="1" s="1"/>
  <c r="G19" i="1"/>
  <c r="C116" i="2"/>
  <c r="G9" i="1" s="1"/>
  <c r="S116" i="3"/>
  <c r="AM94" i="3"/>
  <c r="X16" i="1" s="1"/>
  <c r="X19" i="1" s="1"/>
  <c r="T21" i="3"/>
  <c r="AM116" i="3"/>
  <c r="X9" i="1" s="1"/>
  <c r="X12" i="1" s="1"/>
  <c r="AM115" i="3"/>
  <c r="B116" i="3"/>
  <c r="U10" i="1" s="1"/>
  <c r="L49" i="1" s="1"/>
  <c r="S93" i="3"/>
  <c r="T94" i="3"/>
  <c r="B94" i="3"/>
  <c r="U17" i="1" s="1"/>
  <c r="L51" i="1" s="1"/>
  <c r="AM69" i="3"/>
  <c r="AM70" i="3"/>
  <c r="X23" i="1" s="1"/>
  <c r="X26" i="1" s="1"/>
  <c r="AM21" i="3"/>
  <c r="AM22" i="3"/>
  <c r="X37" i="1" s="1"/>
  <c r="X40" i="1" s="1"/>
  <c r="T112" i="3"/>
  <c r="T109" i="3"/>
  <c r="T110" i="3" s="1"/>
  <c r="T111" i="3" s="1"/>
  <c r="T113" i="3" s="1"/>
  <c r="B69" i="3"/>
  <c r="B70" i="3"/>
  <c r="U24" i="1" s="1"/>
  <c r="L53" i="1" s="1"/>
  <c r="S45" i="3"/>
  <c r="C112" i="3"/>
  <c r="C109" i="3"/>
  <c r="C110" i="3" s="1"/>
  <c r="C111" i="3" s="1"/>
  <c r="C113" i="3" s="1"/>
  <c r="C45" i="3"/>
  <c r="C66" i="3"/>
  <c r="C63" i="3"/>
  <c r="C64" i="3" s="1"/>
  <c r="C65" i="3" s="1"/>
  <c r="C67" i="3" s="1"/>
  <c r="U22" i="3"/>
  <c r="U21" i="3"/>
  <c r="B21" i="3"/>
  <c r="AM42" i="3"/>
  <c r="AM39" i="3"/>
  <c r="AM40" i="3" s="1"/>
  <c r="AM41" i="3" s="1"/>
  <c r="AM43" i="3" s="1"/>
  <c r="AM93" i="3"/>
  <c r="C18" i="3"/>
  <c r="C15" i="3"/>
  <c r="C16" i="3" s="1"/>
  <c r="C17" i="3" s="1"/>
  <c r="C19" i="3" s="1"/>
  <c r="C90" i="3"/>
  <c r="C87" i="3"/>
  <c r="C88" i="3" s="1"/>
  <c r="C89" i="3" s="1"/>
  <c r="C91" i="3" s="1"/>
  <c r="T46" i="3"/>
  <c r="T45" i="3"/>
  <c r="B45" i="2"/>
  <c r="B22" i="2"/>
  <c r="G38" i="1" s="1"/>
  <c r="I57" i="1" s="1"/>
  <c r="T63" i="2"/>
  <c r="T64" i="2" s="1"/>
  <c r="T65" i="2" s="1"/>
  <c r="T67" i="2" s="1"/>
  <c r="T66" i="2"/>
  <c r="T15" i="2"/>
  <c r="T16" i="2" s="1"/>
  <c r="T17" i="2" s="1"/>
  <c r="T19" i="2" s="1"/>
  <c r="T18" i="2"/>
  <c r="C42" i="2"/>
  <c r="C39" i="2"/>
  <c r="C40" i="2" s="1"/>
  <c r="C41" i="2" s="1"/>
  <c r="C43" i="2" s="1"/>
  <c r="C115" i="2"/>
  <c r="T46" i="2"/>
  <c r="H30" i="1" s="1"/>
  <c r="H33" i="1" s="1"/>
  <c r="T45" i="2"/>
  <c r="S45" i="2"/>
  <c r="S112" i="2"/>
  <c r="S109" i="2"/>
  <c r="S110" i="2" s="1"/>
  <c r="S111" i="2" s="1"/>
  <c r="S113" i="2" s="1"/>
  <c r="S90" i="2"/>
  <c r="S87" i="2"/>
  <c r="S88" i="2" s="1"/>
  <c r="S89" i="2" s="1"/>
  <c r="S91" i="2" s="1"/>
  <c r="T115" i="2"/>
  <c r="T116" i="2"/>
  <c r="H9" i="1" s="1"/>
  <c r="C66" i="2"/>
  <c r="C63" i="2"/>
  <c r="C64" i="2" s="1"/>
  <c r="C65" i="2" s="1"/>
  <c r="C67" i="2" s="1"/>
  <c r="B69" i="2"/>
  <c r="S66" i="2"/>
  <c r="S63" i="2"/>
  <c r="S64" i="2" s="1"/>
  <c r="S65" i="2" s="1"/>
  <c r="S67" i="2" s="1"/>
  <c r="T93" i="2"/>
  <c r="T94" i="2"/>
  <c r="H16" i="1" s="1"/>
  <c r="C18" i="2"/>
  <c r="C15" i="2"/>
  <c r="C16" i="2" s="1"/>
  <c r="C17" i="2" s="1"/>
  <c r="C19" i="2" s="1"/>
  <c r="U21" i="2"/>
  <c r="U22" i="2"/>
  <c r="H37" i="1" s="1"/>
  <c r="V10" i="1" l="1"/>
  <c r="W10" i="1"/>
  <c r="V31" i="1"/>
  <c r="V33" i="1" s="1"/>
  <c r="W31" i="1"/>
  <c r="W30" i="1"/>
  <c r="V30" i="1"/>
  <c r="H40" i="1"/>
  <c r="V37" i="1"/>
  <c r="W37" i="1"/>
  <c r="W16" i="1"/>
  <c r="V16" i="1"/>
  <c r="I48" i="1"/>
  <c r="J48" i="1" s="1"/>
  <c r="G12" i="1"/>
  <c r="V19" i="1"/>
  <c r="V40" i="1"/>
  <c r="C93" i="3"/>
  <c r="C70" i="3"/>
  <c r="U23" i="1" s="1"/>
  <c r="C69" i="3"/>
  <c r="AM46" i="3"/>
  <c r="X30" i="1" s="1"/>
  <c r="X33" i="1" s="1"/>
  <c r="AM45" i="3"/>
  <c r="C116" i="3"/>
  <c r="U9" i="1" s="1"/>
  <c r="C115" i="3"/>
  <c r="C22" i="3"/>
  <c r="U37" i="1" s="1"/>
  <c r="C21" i="3"/>
  <c r="T116" i="3"/>
  <c r="T115" i="3"/>
  <c r="C94" i="3"/>
  <c r="U16" i="1" s="1"/>
  <c r="S70" i="2"/>
  <c r="H24" i="1" s="1"/>
  <c r="S69" i="2"/>
  <c r="S93" i="2"/>
  <c r="S94" i="2"/>
  <c r="H17" i="1" s="1"/>
  <c r="H19" i="1" s="1"/>
  <c r="C22" i="2"/>
  <c r="G37" i="1" s="1"/>
  <c r="C21" i="2"/>
  <c r="C46" i="2"/>
  <c r="G30" i="1" s="1"/>
  <c r="C45" i="2"/>
  <c r="C69" i="2"/>
  <c r="C70" i="2"/>
  <c r="G23" i="1" s="1"/>
  <c r="S116" i="2"/>
  <c r="H10" i="1" s="1"/>
  <c r="H12" i="1" s="1"/>
  <c r="S115" i="2"/>
  <c r="T21" i="2"/>
  <c r="T22" i="2"/>
  <c r="H38" i="1" s="1"/>
  <c r="T69" i="2"/>
  <c r="T70" i="2"/>
  <c r="H23" i="1" s="1"/>
  <c r="H26" i="1" s="1"/>
  <c r="I52" i="1" l="1"/>
  <c r="J52" i="1" s="1"/>
  <c r="G26" i="1"/>
  <c r="V9" i="1"/>
  <c r="W9" i="1"/>
  <c r="V12" i="1" s="1"/>
  <c r="L48" i="1"/>
  <c r="M48" i="1" s="1"/>
  <c r="U12" i="1"/>
  <c r="L52" i="1"/>
  <c r="M52" i="1" s="1"/>
  <c r="U26" i="1"/>
  <c r="I54" i="1"/>
  <c r="J54" i="1" s="1"/>
  <c r="G33" i="1"/>
  <c r="I56" i="1"/>
  <c r="J56" i="1" s="1"/>
  <c r="G40" i="1"/>
  <c r="L50" i="1"/>
  <c r="M50" i="1" s="1"/>
  <c r="U19" i="1"/>
  <c r="L56" i="1"/>
  <c r="M56" i="1" s="1"/>
  <c r="U40" i="1"/>
  <c r="I41" i="1"/>
  <c r="Y41" i="1" s="1"/>
  <c r="I42" i="1"/>
  <c r="I34" i="1"/>
  <c r="Y34" i="1" s="1"/>
  <c r="I35" i="1"/>
  <c r="I27" i="1"/>
  <c r="Y27" i="1" s="1"/>
  <c r="I28" i="1"/>
  <c r="I20" i="1"/>
  <c r="Y20" i="1" s="1"/>
  <c r="I21" i="1"/>
  <c r="I13" i="1"/>
  <c r="Y13" i="1" s="1"/>
  <c r="I14" i="1"/>
  <c r="H14" i="1" l="1"/>
  <c r="G28" i="1"/>
  <c r="G27" i="1" s="1"/>
  <c r="G14" i="1"/>
  <c r="G13" i="1" s="1"/>
  <c r="G35" i="1"/>
  <c r="G34" i="1" s="1"/>
  <c r="G42" i="1"/>
  <c r="G41" i="1" s="1"/>
  <c r="G21" i="1"/>
  <c r="G20" i="1" s="1"/>
  <c r="Y21" i="1"/>
  <c r="H21" i="1"/>
  <c r="H20" i="1" s="1"/>
  <c r="H35" i="1"/>
  <c r="H34" i="1" s="1"/>
  <c r="Y35" i="1"/>
  <c r="H13" i="1"/>
  <c r="Y14" i="1"/>
  <c r="Y42" i="1"/>
  <c r="H42" i="1"/>
  <c r="H41" i="1" s="1"/>
  <c r="Y28" i="1"/>
  <c r="H28" i="1"/>
  <c r="H27" i="1" s="1"/>
  <c r="X42" i="1" l="1"/>
  <c r="X41" i="1" s="1"/>
  <c r="U21" i="1"/>
  <c r="U20" i="1" s="1"/>
  <c r="U42" i="1"/>
  <c r="U41" i="1" s="1"/>
  <c r="U35" i="1"/>
  <c r="U34" i="1" s="1"/>
  <c r="U14" i="1"/>
  <c r="U13" i="1" s="1"/>
  <c r="U28" i="1"/>
  <c r="U27" i="1" s="1"/>
  <c r="R53" i="1"/>
  <c r="R51" i="1"/>
  <c r="AE54" i="1" s="1"/>
  <c r="V42" i="1"/>
  <c r="V41" i="1" s="1"/>
  <c r="R52" i="1"/>
  <c r="AE56" i="1" s="1"/>
  <c r="R50" i="1"/>
  <c r="AE52" i="1" s="1"/>
  <c r="R48" i="1"/>
  <c r="AE48" i="1" s="1"/>
  <c r="R49" i="1"/>
  <c r="AE50" i="1" s="1"/>
  <c r="X28" i="1"/>
  <c r="X27" i="1" s="1"/>
  <c r="V28" i="1"/>
  <c r="V27" i="1" s="1"/>
  <c r="V14" i="1"/>
  <c r="V13" i="1" s="1"/>
  <c r="X14" i="1"/>
  <c r="X13" i="1" s="1"/>
  <c r="V35" i="1"/>
  <c r="V34" i="1" s="1"/>
  <c r="X35" i="1"/>
  <c r="X34" i="1" s="1"/>
  <c r="V21" i="1"/>
  <c r="V20" i="1" s="1"/>
  <c r="X21" i="1"/>
  <c r="X20" i="1" s="1"/>
  <c r="W53" i="1" l="1"/>
  <c r="S53" i="1" s="1"/>
  <c r="W50" i="1"/>
  <c r="W51" i="1"/>
  <c r="AE55" i="1" s="1"/>
  <c r="W52" i="1"/>
  <c r="W48" i="1"/>
  <c r="W49" i="1"/>
  <c r="S50" i="1" l="1"/>
  <c r="AE53" i="1"/>
  <c r="S49" i="1"/>
  <c r="AE51" i="1"/>
  <c r="S52" i="1"/>
  <c r="AE57" i="1"/>
  <c r="S48" i="1"/>
  <c r="AE49" i="1"/>
  <c r="S51" i="1"/>
  <c r="O11" i="1" l="1"/>
  <c r="Q5" i="1"/>
  <c r="R17" i="1"/>
  <c r="O10" i="1"/>
  <c r="C39" i="1"/>
  <c r="C38" i="1"/>
  <c r="O5" i="1"/>
  <c r="O4" i="1"/>
  <c r="C25" i="1"/>
  <c r="C24" i="1"/>
  <c r="Q39" i="1"/>
  <c r="Q38" i="1"/>
  <c r="D38" i="1"/>
  <c r="D25" i="1"/>
  <c r="D24" i="1"/>
  <c r="O18" i="1"/>
  <c r="C5" i="1"/>
  <c r="C4" i="1"/>
  <c r="C31" i="1"/>
  <c r="C32" i="1"/>
  <c r="D32" i="1"/>
  <c r="C10" i="1"/>
  <c r="C11" i="1"/>
  <c r="O32" i="1"/>
  <c r="O31" i="1"/>
  <c r="P17" i="1"/>
  <c r="P18" i="1"/>
  <c r="R18" i="1"/>
  <c r="C18" i="1"/>
  <c r="C17" i="1"/>
  <c r="Q17" i="1"/>
  <c r="Q10" i="1"/>
  <c r="O25" i="1"/>
  <c r="R4" i="1"/>
  <c r="D10" i="1" l="1"/>
  <c r="D39" i="1"/>
  <c r="D31" i="1"/>
  <c r="D11" i="1"/>
  <c r="R25" i="1"/>
  <c r="Q11" i="1"/>
  <c r="Q4" i="1"/>
  <c r="P25" i="1"/>
  <c r="R11" i="1"/>
  <c r="D18" i="1"/>
  <c r="D17" i="1"/>
  <c r="O39" i="1"/>
  <c r="O38" i="1"/>
  <c r="Q18" i="1"/>
  <c r="O17" i="1"/>
  <c r="P32" i="1"/>
  <c r="P31" i="1"/>
  <c r="R24" i="1"/>
  <c r="D5" i="1"/>
  <c r="D4" i="1"/>
  <c r="Q32" i="1"/>
  <c r="Q31" i="1"/>
  <c r="P11" i="1"/>
  <c r="P10" i="1"/>
  <c r="R32" i="1"/>
  <c r="R31" i="1"/>
  <c r="Q25" i="1"/>
  <c r="Q24" i="1"/>
  <c r="R5" i="1"/>
  <c r="O24" i="1"/>
  <c r="R39" i="1"/>
  <c r="R38" i="1"/>
  <c r="R10" i="1" l="1"/>
  <c r="P24" i="1"/>
  <c r="P4" i="1"/>
  <c r="P5" i="1"/>
  <c r="P39" i="1"/>
  <c r="P38" i="1"/>
</calcChain>
</file>

<file path=xl/sharedStrings.xml><?xml version="1.0" encoding="utf-8"?>
<sst xmlns="http://schemas.openxmlformats.org/spreadsheetml/2006/main" count="1608" uniqueCount="124">
  <si>
    <t xml:space="preserve">Pilastro 1 </t>
  </si>
  <si>
    <t xml:space="preserve">Telaio 6 </t>
  </si>
  <si>
    <t>As,sup</t>
  </si>
  <si>
    <t>As,inf</t>
  </si>
  <si>
    <t>As inf</t>
  </si>
  <si>
    <t>M-Rd</t>
  </si>
  <si>
    <t>M+Rd</t>
  </si>
  <si>
    <t>piede 6</t>
  </si>
  <si>
    <t>testa 5</t>
  </si>
  <si>
    <t>piede 5</t>
  </si>
  <si>
    <t>testa 4</t>
  </si>
  <si>
    <t>piede 4</t>
  </si>
  <si>
    <t>testa 3</t>
  </si>
  <si>
    <t>piede 3</t>
  </si>
  <si>
    <t>testa 2</t>
  </si>
  <si>
    <t>piede 2</t>
  </si>
  <si>
    <t>testa 1</t>
  </si>
  <si>
    <t>Telaio 9</t>
  </si>
  <si>
    <t>2φ14+3φ20</t>
  </si>
  <si>
    <t>1φ14+3φ20</t>
  </si>
  <si>
    <t>2φ14+2φ20</t>
  </si>
  <si>
    <t>1φ14+2φ20</t>
  </si>
  <si>
    <t>2φ20</t>
  </si>
  <si>
    <t>3φ14</t>
  </si>
  <si>
    <t>Diametro</t>
  </si>
  <si>
    <t>Peso</t>
  </si>
  <si>
    <t>Numero  barre</t>
  </si>
  <si>
    <t>mm</t>
  </si>
  <si>
    <t>kg/m</t>
  </si>
  <si>
    <t>sezione   cm²</t>
  </si>
  <si>
    <t>1φ14+4φ20</t>
  </si>
  <si>
    <t>2φ14</t>
  </si>
  <si>
    <t>Resistenza a flessione</t>
  </si>
  <si>
    <t>As' sup</t>
  </si>
  <si>
    <t>b</t>
  </si>
  <si>
    <t>cm</t>
  </si>
  <si>
    <t>fyd</t>
  </si>
  <si>
    <t>MPa</t>
  </si>
  <si>
    <t>cm2</t>
  </si>
  <si>
    <t>h</t>
  </si>
  <si>
    <t>fcd</t>
  </si>
  <si>
    <t>c</t>
  </si>
  <si>
    <t>d</t>
  </si>
  <si>
    <t>xerr=</t>
  </si>
  <si>
    <t>u=</t>
  </si>
  <si>
    <t>u1=</t>
  </si>
  <si>
    <t>9'</t>
  </si>
  <si>
    <t>w=</t>
  </si>
  <si>
    <t>As</t>
  </si>
  <si>
    <t>x=</t>
  </si>
  <si>
    <t>A's</t>
  </si>
  <si>
    <t>x</t>
  </si>
  <si>
    <t>e's</t>
  </si>
  <si>
    <t>E e's</t>
  </si>
  <si>
    <t>s's</t>
  </si>
  <si>
    <t>Nc</t>
  </si>
  <si>
    <t>N's</t>
  </si>
  <si>
    <t>Ns</t>
  </si>
  <si>
    <t>N</t>
  </si>
  <si>
    <t>MRd</t>
  </si>
  <si>
    <t xml:space="preserve">direzione x </t>
  </si>
  <si>
    <t>direzione y</t>
  </si>
  <si>
    <t>piano</t>
  </si>
  <si>
    <t>sx</t>
  </si>
  <si>
    <t>dx</t>
  </si>
  <si>
    <t>somm M</t>
  </si>
  <si>
    <t>MOMENTI RESISTENTI DELLE TRAVI ADIACENTI AL PILASTRO 1</t>
  </si>
  <si>
    <t>xc</t>
  </si>
  <si>
    <t>yl</t>
  </si>
  <si>
    <t>My</t>
  </si>
  <si>
    <t>Mx</t>
  </si>
  <si>
    <t xml:space="preserve">piano </t>
  </si>
  <si>
    <t>[KNm]</t>
  </si>
  <si>
    <t>[KN]</t>
  </si>
  <si>
    <t xml:space="preserve">1 testa </t>
  </si>
  <si>
    <t>1 piede</t>
  </si>
  <si>
    <t>PILASTRO 1, VALORI PER IL PROGETTO DELLE ARMATURE O LA VERIFICA DELLE SEZIONI</t>
  </si>
  <si>
    <t>Ac=</t>
  </si>
  <si>
    <t>Ncmax=</t>
  </si>
  <si>
    <t>Mcxmax=</t>
  </si>
  <si>
    <t>Mcymax=</t>
  </si>
  <si>
    <t>KN</t>
  </si>
  <si>
    <t>KNm</t>
  </si>
  <si>
    <t>fcd=</t>
  </si>
  <si>
    <t>Mcx(N)</t>
  </si>
  <si>
    <t>Mcy(N)</t>
  </si>
  <si>
    <t>lato corto</t>
  </si>
  <si>
    <t>As=</t>
  </si>
  <si>
    <t>lato lungo</t>
  </si>
  <si>
    <r>
      <t>S</t>
    </r>
    <r>
      <rPr>
        <sz val="9"/>
        <color indexed="12"/>
        <rFont val="Arial"/>
        <family val="2"/>
      </rPr>
      <t xml:space="preserve"> pilastri</t>
    </r>
  </si>
  <si>
    <t>Taglio per sisma in x</t>
  </si>
  <si>
    <t>qmax</t>
  </si>
  <si>
    <t>qmin</t>
  </si>
  <si>
    <t>sisma x</t>
  </si>
  <si>
    <t>sisma y</t>
  </si>
  <si>
    <t>sisma prev x</t>
  </si>
  <si>
    <t>sisma prev y</t>
  </si>
  <si>
    <t>My,tes</t>
  </si>
  <si>
    <t>Mx,tes</t>
  </si>
  <si>
    <t>My,pie</t>
  </si>
  <si>
    <t>Mx,pie</t>
  </si>
  <si>
    <t>area arm</t>
  </si>
  <si>
    <t>Vjbd</t>
  </si>
  <si>
    <t>eta</t>
  </si>
  <si>
    <t>bj</t>
  </si>
  <si>
    <t>hjc</t>
  </si>
  <si>
    <t>sigma</t>
  </si>
  <si>
    <t>nid</t>
  </si>
  <si>
    <t>trave 1-5</t>
  </si>
  <si>
    <t>Taglio limite per la resistenza a compressione</t>
  </si>
  <si>
    <t>Taglio limite per la resistenza a trazione</t>
  </si>
  <si>
    <t>Area totale delle staffe</t>
  </si>
  <si>
    <t>hjw</t>
  </si>
  <si>
    <t>tao</t>
  </si>
  <si>
    <t>Ash</t>
  </si>
  <si>
    <t>Sforzo normale max e min dell'ordine immediatamente superiore per sisma prevalente in x</t>
  </si>
  <si>
    <t>STAFFE NEL NODO</t>
  </si>
  <si>
    <t>fck</t>
  </si>
  <si>
    <t>nst</t>
  </si>
  <si>
    <t>fyk</t>
  </si>
  <si>
    <t>Ast</t>
  </si>
  <si>
    <t>i</t>
  </si>
  <si>
    <t>V</t>
  </si>
  <si>
    <t xml:space="preserve">oridine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</si>
</sst>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8"/>
      <color rgb="FF7030A0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66"/>
      <name val="Arial"/>
      <family val="2"/>
    </font>
    <font>
      <sz val="9"/>
      <color rgb="FF7030A0"/>
      <name val="Calibri"/>
      <family val="2"/>
      <scheme val="minor"/>
    </font>
    <font>
      <sz val="9"/>
      <color indexed="12"/>
      <name val="Symbol"/>
      <family val="1"/>
      <charset val="2"/>
    </font>
    <font>
      <sz val="9"/>
      <color indexed="12"/>
      <name val="Arial"/>
      <family val="2"/>
    </font>
    <font>
      <sz val="9"/>
      <color rgb="FF0000FF"/>
      <name val="Calibri"/>
      <family val="2"/>
      <scheme val="minor"/>
    </font>
    <font>
      <b/>
      <sz val="9"/>
      <color rgb="FFFF0066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b/>
      <sz val="8"/>
      <color rgb="FF7030A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14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164" fontId="17" fillId="0" borderId="19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0" fontId="18" fillId="0" borderId="1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PIL-SPI-SPO-TRA%20modale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pilastro%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AppData\Roaming\Microsoft\Excel\PIL-SPI-SPO-TRA%20modalex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70">
          <cell r="W170">
            <v>4.0554376640340086</v>
          </cell>
        </row>
        <row r="338">
          <cell r="W338">
            <v>2.9083492903007571</v>
          </cell>
          <cell r="X338">
            <v>2.2959165595667113</v>
          </cell>
        </row>
        <row r="339">
          <cell r="W339">
            <v>2.8235736569912504</v>
          </cell>
          <cell r="X339">
            <v>2.3806921928762175</v>
          </cell>
        </row>
        <row r="342">
          <cell r="W342">
            <v>5.2314229417363904</v>
          </cell>
          <cell r="X342">
            <v>4.1910224928425137</v>
          </cell>
        </row>
        <row r="343">
          <cell r="W343">
            <v>5.118924778176547</v>
          </cell>
          <cell r="X343">
            <v>4.3035206564023554</v>
          </cell>
        </row>
        <row r="346">
          <cell r="W346">
            <v>8.3847642068157011</v>
          </cell>
          <cell r="X346">
            <v>7.4919273463708684</v>
          </cell>
        </row>
        <row r="347">
          <cell r="W347">
            <v>8.2571726215829209</v>
          </cell>
          <cell r="X347">
            <v>7.6195189316036496</v>
          </cell>
        </row>
        <row r="350">
          <cell r="W350">
            <v>10.679284355364089</v>
          </cell>
          <cell r="X350">
            <v>9.8006198305201622</v>
          </cell>
        </row>
        <row r="351">
          <cell r="W351">
            <v>10.566922326473822</v>
          </cell>
          <cell r="X351">
            <v>9.9129818594104293</v>
          </cell>
        </row>
        <row r="354">
          <cell r="W354">
            <v>12.750510102669569</v>
          </cell>
          <cell r="X354">
            <v>11.898141725384248</v>
          </cell>
        </row>
        <row r="355">
          <cell r="W355">
            <v>12.672919734381527</v>
          </cell>
          <cell r="X355">
            <v>11.975732093672294</v>
          </cell>
        </row>
        <row r="358">
          <cell r="W358">
            <v>13.266849614025691</v>
          </cell>
          <cell r="X358">
            <v>12.492857548505388</v>
          </cell>
        </row>
        <row r="359">
          <cell r="W359">
            <v>13.227773011410884</v>
          </cell>
          <cell r="X359">
            <v>12.531934151120193</v>
          </cell>
        </row>
        <row r="458">
          <cell r="W458">
            <v>2.9057254957153837</v>
          </cell>
          <cell r="X458">
            <v>-0.55204502272247491</v>
          </cell>
        </row>
        <row r="459">
          <cell r="W459">
            <v>4.6057838914259541</v>
          </cell>
          <cell r="X459">
            <v>-4.7881396213044006E-2</v>
          </cell>
        </row>
        <row r="462">
          <cell r="W462">
            <v>5.688392216703642</v>
          </cell>
          <cell r="X462">
            <v>-1.0773576496529456E-2</v>
          </cell>
        </row>
        <row r="463">
          <cell r="W463">
            <v>7.1883557965458884</v>
          </cell>
          <cell r="X463">
            <v>0.95814212750512107</v>
          </cell>
        </row>
        <row r="466">
          <cell r="W466">
            <v>6.2546938572686077</v>
          </cell>
          <cell r="X466">
            <v>2.5923980504545288</v>
          </cell>
        </row>
        <row r="467">
          <cell r="W467">
            <v>8.556656890543934</v>
          </cell>
          <cell r="X467">
            <v>3.8406329735233373</v>
          </cell>
        </row>
        <row r="470">
          <cell r="W470">
            <v>7.2009312669611685</v>
          </cell>
          <cell r="X470">
            <v>4.0317171293084915</v>
          </cell>
        </row>
        <row r="471">
          <cell r="W471">
            <v>9.9215724751439023</v>
          </cell>
          <cell r="X471">
            <v>5.098826561035863</v>
          </cell>
        </row>
        <row r="474">
          <cell r="W474">
            <v>7.9009574312730457</v>
          </cell>
          <cell r="X474">
            <v>5.1563271999318498</v>
          </cell>
        </row>
        <row r="475">
          <cell r="W475">
            <v>11.008563741537163</v>
          </cell>
          <cell r="X475">
            <v>5.9599609969211294</v>
          </cell>
        </row>
        <row r="478">
          <cell r="W478">
            <v>7.3348676978245084</v>
          </cell>
          <cell r="X478">
            <v>5.4065487852863274</v>
          </cell>
        </row>
        <row r="479">
          <cell r="W479">
            <v>11.397075884617413</v>
          </cell>
          <cell r="X479">
            <v>5.7647503843517134</v>
          </cell>
        </row>
        <row r="482">
          <cell r="W482">
            <v>2.8065438381414118</v>
          </cell>
          <cell r="X482">
            <v>1.6150238089065194</v>
          </cell>
        </row>
        <row r="483">
          <cell r="W483">
            <v>1.7820873935636321</v>
          </cell>
          <cell r="X483">
            <v>0.97551732056282103</v>
          </cell>
        </row>
        <row r="486">
          <cell r="W486">
            <v>5.1594060921664564</v>
          </cell>
          <cell r="X486">
            <v>4.0266774569100159</v>
          </cell>
        </row>
        <row r="487">
          <cell r="W487">
            <v>4.0547796210081346</v>
          </cell>
          <cell r="X487">
            <v>2.7365983078824336</v>
          </cell>
        </row>
        <row r="490">
          <cell r="W490">
            <v>7.2472215630438246</v>
          </cell>
          <cell r="X490">
            <v>6.3954008108908447</v>
          </cell>
        </row>
        <row r="491">
          <cell r="W491">
            <v>4.9495513023336937</v>
          </cell>
          <cell r="X491">
            <v>4.0085234302426995</v>
          </cell>
        </row>
        <row r="494">
          <cell r="W494">
            <v>9.2496415083624388</v>
          </cell>
          <cell r="X494">
            <v>8.1019206430335995</v>
          </cell>
        </row>
        <row r="495">
          <cell r="W495">
            <v>6.0758937444983978</v>
          </cell>
          <cell r="X495">
            <v>5.2935960311375592</v>
          </cell>
        </row>
        <row r="498">
          <cell r="W498">
            <v>11.053072481228625</v>
          </cell>
          <cell r="X498">
            <v>9.5169028553580048</v>
          </cell>
        </row>
        <row r="499">
          <cell r="W499">
            <v>7.0384818208738462</v>
          </cell>
          <cell r="X499">
            <v>6.4867545706416134</v>
          </cell>
        </row>
        <row r="502">
          <cell r="W502">
            <v>12.095875470044904</v>
          </cell>
          <cell r="X502">
            <v>9.7624802753540294</v>
          </cell>
        </row>
        <row r="503">
          <cell r="W503">
            <v>6.679733610796732</v>
          </cell>
          <cell r="X503">
            <v>6.5742447843776741</v>
          </cell>
        </row>
      </sheetData>
      <sheetData sheetId="8" refreshError="1"/>
      <sheetData sheetId="9" refreshError="1"/>
      <sheetData sheetId="10" refreshError="1"/>
      <sheetData sheetId="11" refreshError="1">
        <row r="3">
          <cell r="AL3">
            <v>-26.115000000000002</v>
          </cell>
          <cell r="AT3">
            <v>35.051692187500002</v>
          </cell>
        </row>
        <row r="4">
          <cell r="AL4">
            <v>-94.450999999999993</v>
          </cell>
        </row>
        <row r="5">
          <cell r="AL5">
            <v>-36.328000000000003</v>
          </cell>
        </row>
        <row r="6">
          <cell r="AL6">
            <v>-84.238</v>
          </cell>
        </row>
        <row r="7">
          <cell r="AL7">
            <v>-51.174900000000008</v>
          </cell>
          <cell r="AT7">
            <v>60.011712499999987</v>
          </cell>
        </row>
        <row r="8">
          <cell r="AL8">
            <v>-241.97310000000002</v>
          </cell>
        </row>
        <row r="9">
          <cell r="AL9">
            <v>-79.181900000000013</v>
          </cell>
        </row>
        <row r="10">
          <cell r="AL10">
            <v>-213.96610000000001</v>
          </cell>
        </row>
        <row r="11">
          <cell r="AL11">
            <v>-21.796400000000006</v>
          </cell>
          <cell r="AT11">
            <v>87.31959375000001</v>
          </cell>
        </row>
        <row r="12">
          <cell r="AL12">
            <v>-450.14760000000001</v>
          </cell>
        </row>
        <row r="13">
          <cell r="AL13">
            <v>-89.69919999999999</v>
          </cell>
        </row>
        <row r="14">
          <cell r="AL14">
            <v>-382.24480000000005</v>
          </cell>
        </row>
        <row r="15">
          <cell r="AL15">
            <v>39.598700000000008</v>
          </cell>
          <cell r="AT15">
            <v>106.61483437499999</v>
          </cell>
        </row>
        <row r="16">
          <cell r="AL16">
            <v>-688.64070000000004</v>
          </cell>
        </row>
        <row r="17">
          <cell r="AL17">
            <v>-80.815299999999979</v>
          </cell>
        </row>
        <row r="18">
          <cell r="AL18">
            <v>-568.22670000000005</v>
          </cell>
        </row>
        <row r="19">
          <cell r="AL19">
            <v>129.80419999999998</v>
          </cell>
          <cell r="AT19">
            <v>116.84685833333333</v>
          </cell>
        </row>
        <row r="20">
          <cell r="AL20">
            <v>-953.6561999999999</v>
          </cell>
        </row>
        <row r="21">
          <cell r="AL21">
            <v>-55.345799999999997</v>
          </cell>
        </row>
        <row r="22">
          <cell r="AL22">
            <v>-768.50620000000004</v>
          </cell>
        </row>
        <row r="23">
          <cell r="AL23">
            <v>228.85350000000005</v>
          </cell>
          <cell r="AT23">
            <v>83.67261666666667</v>
          </cell>
          <cell r="AV23">
            <v>-282.50290000000001</v>
          </cell>
          <cell r="AW23">
            <v>-29.677699999999998</v>
          </cell>
        </row>
        <row r="24">
          <cell r="AL24">
            <v>-1221.9535000000001</v>
          </cell>
          <cell r="AV24">
            <v>287.04689999999999</v>
          </cell>
          <cell r="AW24">
            <v>45.545699999999997</v>
          </cell>
        </row>
        <row r="25">
          <cell r="AL25">
            <v>-24.442900000000009</v>
          </cell>
          <cell r="AV25">
            <v>-101.37229999999998</v>
          </cell>
          <cell r="AW25">
            <v>-74.028300000000002</v>
          </cell>
        </row>
        <row r="26">
          <cell r="AL26">
            <v>-968.6570999999999</v>
          </cell>
          <cell r="AV26">
            <v>105.91629999999999</v>
          </cell>
          <cell r="AW26">
            <v>89.896299999999997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Mrd telaio 2"/>
      <sheetName val="Mrd telaio 13"/>
    </sheetNames>
    <sheetDataSet>
      <sheetData sheetId="0" refreshError="1">
        <row r="2">
          <cell r="A2" t="str">
            <v>Telaio 2</v>
          </cell>
        </row>
        <row r="12">
          <cell r="Q12">
            <v>0.3572394310387933</v>
          </cell>
        </row>
        <row r="13">
          <cell r="Q13">
            <v>0.6427605689612067</v>
          </cell>
        </row>
        <row r="19">
          <cell r="Q19">
            <v>0.42264918622710601</v>
          </cell>
        </row>
        <row r="20">
          <cell r="Q20">
            <v>0.57735081377289399</v>
          </cell>
        </row>
        <row r="26">
          <cell r="Q26">
            <v>0.45382728226404156</v>
          </cell>
        </row>
        <row r="27">
          <cell r="Q27">
            <v>0.54617271773595844</v>
          </cell>
        </row>
        <row r="33">
          <cell r="Q33">
            <v>0.47269963703325535</v>
          </cell>
        </row>
        <row r="34">
          <cell r="Q34">
            <v>0.52730036296674465</v>
          </cell>
        </row>
        <row r="40">
          <cell r="Q40">
            <v>0.48635937111179428</v>
          </cell>
        </row>
        <row r="41">
          <cell r="Q41">
            <v>0.51364062888820572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C3">
            <v>6</v>
          </cell>
          <cell r="D3" t="str">
            <v>Msup</v>
          </cell>
          <cell r="E3">
            <v>-9.8520000000000003</v>
          </cell>
          <cell r="F3">
            <v>-6.8010000000000002</v>
          </cell>
          <cell r="G3">
            <v>45.481999999999999</v>
          </cell>
          <cell r="H3">
            <v>2.2889999999999997</v>
          </cell>
          <cell r="I3">
            <v>46.168700000000001</v>
          </cell>
          <cell r="J3">
            <v>15.933599999999998</v>
          </cell>
          <cell r="AE3">
            <v>1</v>
          </cell>
          <cell r="AF3">
            <v>6</v>
          </cell>
          <cell r="AG3" t="str">
            <v>q+Fx</v>
          </cell>
          <cell r="AH3">
            <v>39.367699999999999</v>
          </cell>
          <cell r="AI3">
            <v>-15.113599999999998</v>
          </cell>
          <cell r="AJ3">
            <v>-15.8772</v>
          </cell>
          <cell r="AK3">
            <v>16.5764</v>
          </cell>
          <cell r="AL3">
            <v>-26.115000000000002</v>
          </cell>
        </row>
        <row r="4">
          <cell r="D4" t="str">
            <v>Minf</v>
          </cell>
          <cell r="E4">
            <v>8.5519999999999996</v>
          </cell>
          <cell r="F4">
            <v>5.923</v>
          </cell>
          <cell r="G4">
            <v>-21.67</v>
          </cell>
          <cell r="H4">
            <v>-0.434</v>
          </cell>
          <cell r="I4">
            <v>-21.8002</v>
          </cell>
          <cell r="J4">
            <v>-6.9350000000000005</v>
          </cell>
          <cell r="AG4" t="str">
            <v>q-Fx</v>
          </cell>
          <cell r="AH4">
            <v>-52.969700000000003</v>
          </cell>
          <cell r="AI4">
            <v>-51.2044</v>
          </cell>
          <cell r="AJ4">
            <v>27.723199999999999</v>
          </cell>
          <cell r="AK4">
            <v>42.787599999999998</v>
          </cell>
          <cell r="AL4">
            <v>-94.450999999999993</v>
          </cell>
        </row>
        <row r="5">
          <cell r="D5" t="str">
            <v>V</v>
          </cell>
          <cell r="E5">
            <v>-5.7510000000000003</v>
          </cell>
          <cell r="F5">
            <v>-3.976</v>
          </cell>
          <cell r="G5">
            <v>18.942</v>
          </cell>
          <cell r="H5">
            <v>0.74</v>
          </cell>
          <cell r="I5">
            <v>19.164000000000001</v>
          </cell>
          <cell r="J5">
            <v>6.4226000000000001</v>
          </cell>
          <cell r="AG5" t="str">
            <v>q+Fy</v>
          </cell>
          <cell r="AH5">
            <v>9.1325999999999983</v>
          </cell>
          <cell r="AI5">
            <v>2.7104999999999961</v>
          </cell>
          <cell r="AJ5">
            <v>-1.0120000000000005</v>
          </cell>
          <cell r="AK5">
            <v>3.8538999999999994</v>
          </cell>
          <cell r="AL5">
            <v>-36.328000000000003</v>
          </cell>
        </row>
        <row r="6">
          <cell r="D6" t="str">
            <v>N</v>
          </cell>
          <cell r="E6">
            <v>-17.436</v>
          </cell>
          <cell r="F6">
            <v>-12.269</v>
          </cell>
          <cell r="G6">
            <v>26.366</v>
          </cell>
          <cell r="H6">
            <v>1.327</v>
          </cell>
          <cell r="I6">
            <v>26.764099999999999</v>
          </cell>
          <cell r="J6">
            <v>9.2367999999999988</v>
          </cell>
          <cell r="AG6" t="str">
            <v>q-Fy</v>
          </cell>
          <cell r="AH6">
            <v>-22.7346</v>
          </cell>
          <cell r="AI6">
            <v>-69.028499999999994</v>
          </cell>
          <cell r="AJ6">
            <v>12.858000000000001</v>
          </cell>
          <cell r="AK6">
            <v>55.510099999999994</v>
          </cell>
          <cell r="AL6">
            <v>-84.238</v>
          </cell>
        </row>
        <row r="7">
          <cell r="C7">
            <v>5</v>
          </cell>
          <cell r="D7" t="str">
            <v>Msup</v>
          </cell>
          <cell r="E7">
            <v>-7.8490000000000002</v>
          </cell>
          <cell r="F7">
            <v>-5.4320000000000004</v>
          </cell>
          <cell r="G7">
            <v>76.599999999999994</v>
          </cell>
          <cell r="H7">
            <v>4.673</v>
          </cell>
          <cell r="I7">
            <v>78.001899999999992</v>
          </cell>
          <cell r="J7">
            <v>27.652999999999999</v>
          </cell>
          <cell r="AF7">
            <v>5</v>
          </cell>
          <cell r="AG7" t="str">
            <v>q+Fx</v>
          </cell>
          <cell r="AH7">
            <v>72.56989999999999</v>
          </cell>
          <cell r="AI7">
            <v>-4.3199000000000041</v>
          </cell>
          <cell r="AJ7">
            <v>-61.384100000000004</v>
          </cell>
          <cell r="AK7">
            <v>2.8734999999999999</v>
          </cell>
          <cell r="AL7">
            <v>-51.174900000000008</v>
          </cell>
        </row>
        <row r="8">
          <cell r="D8" t="str">
            <v>Minf</v>
          </cell>
          <cell r="E8">
            <v>8.5730000000000004</v>
          </cell>
          <cell r="F8">
            <v>5.9020000000000001</v>
          </cell>
          <cell r="G8">
            <v>-66.210000000000008</v>
          </cell>
          <cell r="H8">
            <v>-3.5870000000000002</v>
          </cell>
          <cell r="I8">
            <v>-67.286100000000005</v>
          </cell>
          <cell r="J8">
            <v>-23.450000000000003</v>
          </cell>
          <cell r="AG8" t="str">
            <v>q-Fx</v>
          </cell>
          <cell r="AH8">
            <v>-83.433899999999994</v>
          </cell>
          <cell r="AI8">
            <v>-47.270099999999999</v>
          </cell>
          <cell r="AJ8">
            <v>73.188100000000006</v>
          </cell>
          <cell r="AK8">
            <v>49.186500000000002</v>
          </cell>
          <cell r="AL8">
            <v>-241.97310000000002</v>
          </cell>
        </row>
        <row r="9">
          <cell r="D9" t="str">
            <v>V</v>
          </cell>
          <cell r="E9">
            <v>-5.1319999999999997</v>
          </cell>
          <cell r="F9">
            <v>-3.5419999999999998</v>
          </cell>
          <cell r="G9">
            <v>43.981999999999999</v>
          </cell>
          <cell r="H9">
            <v>2.5780000000000003</v>
          </cell>
          <cell r="I9">
            <v>44.755400000000002</v>
          </cell>
          <cell r="J9">
            <v>15.772600000000001</v>
          </cell>
          <cell r="AG9" t="str">
            <v>q+Fy</v>
          </cell>
          <cell r="AH9">
            <v>22.220999999999997</v>
          </cell>
          <cell r="AI9">
            <v>18.164100000000005</v>
          </cell>
          <cell r="AJ9">
            <v>-17.548000000000002</v>
          </cell>
          <cell r="AK9">
            <v>-21.116199999999999</v>
          </cell>
          <cell r="AL9">
            <v>-79.181900000000013</v>
          </cell>
        </row>
        <row r="10">
          <cell r="D10" t="str">
            <v>N</v>
          </cell>
          <cell r="E10">
            <v>-45.219000000000001</v>
          </cell>
          <cell r="F10">
            <v>-31.788</v>
          </cell>
          <cell r="G10">
            <v>73.60199999999999</v>
          </cell>
          <cell r="H10">
            <v>4.0129999999999999</v>
          </cell>
          <cell r="I10">
            <v>74.805899999999994</v>
          </cell>
          <cell r="J10">
            <v>26.093599999999995</v>
          </cell>
          <cell r="AG10" t="str">
            <v>q-Fy</v>
          </cell>
          <cell r="AH10">
            <v>-33.085000000000001</v>
          </cell>
          <cell r="AI10">
            <v>-69.754100000000008</v>
          </cell>
          <cell r="AJ10">
            <v>29.352000000000004</v>
          </cell>
          <cell r="AK10">
            <v>73.176199999999994</v>
          </cell>
          <cell r="AL10">
            <v>-213.96610000000001</v>
          </cell>
        </row>
        <row r="11">
          <cell r="C11">
            <v>4</v>
          </cell>
          <cell r="D11" t="str">
            <v>Msup</v>
          </cell>
          <cell r="E11">
            <v>-8.7509999999999994</v>
          </cell>
          <cell r="F11">
            <v>-6.0570000000000004</v>
          </cell>
          <cell r="G11">
            <v>109.227</v>
          </cell>
          <cell r="H11">
            <v>6.6840000000000002</v>
          </cell>
          <cell r="I11">
            <v>111.23220000000001</v>
          </cell>
          <cell r="J11">
            <v>39.452099999999994</v>
          </cell>
          <cell r="AF11">
            <v>4</v>
          </cell>
          <cell r="AG11" t="str">
            <v>q+Fx</v>
          </cell>
          <cell r="AH11">
            <v>105.1752</v>
          </cell>
          <cell r="AI11">
            <v>5.7166999999999994</v>
          </cell>
          <cell r="AJ11">
            <v>-85.284599999999998</v>
          </cell>
          <cell r="AK11">
            <v>-4.2957000000000001</v>
          </cell>
          <cell r="AL11">
            <v>-21.796400000000006</v>
          </cell>
        </row>
        <row r="12">
          <cell r="D12" t="str">
            <v>Minf</v>
          </cell>
          <cell r="E12">
            <v>9.0440000000000005</v>
          </cell>
          <cell r="F12">
            <v>6.22</v>
          </cell>
          <cell r="G12">
            <v>-89.905000000000001</v>
          </cell>
          <cell r="H12">
            <v>-5.3319999999999999</v>
          </cell>
          <cell r="I12">
            <v>-91.504599999999996</v>
          </cell>
          <cell r="J12">
            <v>-32.3035</v>
          </cell>
          <cell r="AG12" t="str">
            <v>q-Fx</v>
          </cell>
          <cell r="AH12">
            <v>-117.28920000000001</v>
          </cell>
          <cell r="AI12">
            <v>-57.134699999999995</v>
          </cell>
          <cell r="AJ12">
            <v>97.724599999999995</v>
          </cell>
          <cell r="AK12">
            <v>55.527699999999996</v>
          </cell>
          <cell r="AL12">
            <v>-450.14760000000001</v>
          </cell>
        </row>
        <row r="13">
          <cell r="D13" t="str">
            <v>V</v>
          </cell>
          <cell r="E13">
            <v>-5.5609999999999999</v>
          </cell>
          <cell r="F13">
            <v>-3.8359999999999999</v>
          </cell>
          <cell r="G13">
            <v>61.731999999999999</v>
          </cell>
          <cell r="H13">
            <v>3.7530000000000001</v>
          </cell>
          <cell r="I13">
            <v>62.857900000000001</v>
          </cell>
          <cell r="J13">
            <v>22.272600000000001</v>
          </cell>
          <cell r="AG13" t="str">
            <v>q+Fy</v>
          </cell>
          <cell r="AH13">
            <v>33.395099999999992</v>
          </cell>
          <cell r="AI13">
            <v>38.772799999999989</v>
          </cell>
          <cell r="AJ13">
            <v>-26.083500000000001</v>
          </cell>
          <cell r="AK13">
            <v>-35.590600000000002</v>
          </cell>
          <cell r="AL13">
            <v>-89.69919999999999</v>
          </cell>
        </row>
        <row r="14">
          <cell r="D14" t="str">
            <v>N</v>
          </cell>
          <cell r="E14">
            <v>-75.069999999999993</v>
          </cell>
          <cell r="F14">
            <v>-52.822000000000003</v>
          </cell>
          <cell r="G14">
            <v>168.86599999999999</v>
          </cell>
          <cell r="H14">
            <v>9.9379999999999988</v>
          </cell>
          <cell r="I14">
            <v>171.84739999999999</v>
          </cell>
          <cell r="J14">
            <v>60.597799999999992</v>
          </cell>
          <cell r="AG14" t="str">
            <v>q-Fy</v>
          </cell>
          <cell r="AH14">
            <v>-45.509099999999997</v>
          </cell>
          <cell r="AI14">
            <v>-90.190799999999996</v>
          </cell>
          <cell r="AJ14">
            <v>38.523499999999999</v>
          </cell>
          <cell r="AK14">
            <v>86.822599999999994</v>
          </cell>
          <cell r="AL14">
            <v>-382.24480000000005</v>
          </cell>
        </row>
        <row r="15">
          <cell r="C15">
            <v>3</v>
          </cell>
          <cell r="D15" t="str">
            <v>Msup</v>
          </cell>
          <cell r="E15">
            <v>-8.01</v>
          </cell>
          <cell r="F15">
            <v>-5.585</v>
          </cell>
          <cell r="G15">
            <v>132.94399999999999</v>
          </cell>
          <cell r="H15">
            <v>8.1879999999999988</v>
          </cell>
          <cell r="I15">
            <v>135.40039999999999</v>
          </cell>
          <cell r="J15">
            <v>48.07119999999999</v>
          </cell>
          <cell r="AF15">
            <v>3</v>
          </cell>
          <cell r="AG15" t="str">
            <v>q+Fx</v>
          </cell>
          <cell r="AH15">
            <v>129.81539999999998</v>
          </cell>
          <cell r="AI15">
            <v>10.981999999999996</v>
          </cell>
          <cell r="AJ15">
            <v>-117.65729999999999</v>
          </cell>
          <cell r="AK15">
            <v>-10.223899999999997</v>
          </cell>
          <cell r="AL15">
            <v>39.598700000000008</v>
          </cell>
        </row>
        <row r="16">
          <cell r="D16" t="str">
            <v>Minf</v>
          </cell>
          <cell r="E16">
            <v>8.39</v>
          </cell>
          <cell r="F16">
            <v>5.7750000000000004</v>
          </cell>
          <cell r="G16">
            <v>-121.215</v>
          </cell>
          <cell r="H16">
            <v>-7.391</v>
          </cell>
          <cell r="I16">
            <v>-123.4323</v>
          </cell>
          <cell r="J16">
            <v>-43.755499999999998</v>
          </cell>
          <cell r="AG16" t="str">
            <v>q-Fx</v>
          </cell>
          <cell r="AH16">
            <v>-140.9854</v>
          </cell>
          <cell r="AI16">
            <v>-59.813999999999993</v>
          </cell>
          <cell r="AJ16">
            <v>129.2073</v>
          </cell>
          <cell r="AK16">
            <v>58.457899999999995</v>
          </cell>
          <cell r="AL16">
            <v>-688.64070000000004</v>
          </cell>
        </row>
        <row r="17">
          <cell r="D17" t="str">
            <v>V</v>
          </cell>
          <cell r="E17">
            <v>-5.125</v>
          </cell>
          <cell r="F17">
            <v>-3.55</v>
          </cell>
          <cell r="G17">
            <v>79.040999999999997</v>
          </cell>
          <cell r="H17">
            <v>4.8650000000000002</v>
          </cell>
          <cell r="I17">
            <v>80.500500000000002</v>
          </cell>
          <cell r="J17">
            <v>28.577300000000001</v>
          </cell>
          <cell r="AG17" t="str">
            <v>q+Fy</v>
          </cell>
          <cell r="AH17">
            <v>42.48619999999999</v>
          </cell>
          <cell r="AI17">
            <v>49.22999999999999</v>
          </cell>
          <cell r="AJ17">
            <v>-37.980499999999999</v>
          </cell>
          <cell r="AK17">
            <v>-47.048799999999986</v>
          </cell>
          <cell r="AL17">
            <v>-80.815299999999979</v>
          </cell>
        </row>
        <row r="18">
          <cell r="D18" t="str">
            <v>N</v>
          </cell>
          <cell r="E18">
            <v>-104.759</v>
          </cell>
          <cell r="F18">
            <v>-73.759</v>
          </cell>
          <cell r="G18">
            <v>290.71500000000003</v>
          </cell>
          <cell r="H18">
            <v>17.724</v>
          </cell>
          <cell r="I18">
            <v>296.03220000000005</v>
          </cell>
          <cell r="J18">
            <v>104.9385</v>
          </cell>
          <cell r="AG18" t="str">
            <v>q-Fy</v>
          </cell>
          <cell r="AH18">
            <v>-53.656199999999991</v>
          </cell>
          <cell r="AI18">
            <v>-98.061999999999983</v>
          </cell>
          <cell r="AJ18">
            <v>49.530499999999996</v>
          </cell>
          <cell r="AK18">
            <v>95.282799999999995</v>
          </cell>
          <cell r="AL18">
            <v>-568.22670000000005</v>
          </cell>
        </row>
        <row r="19">
          <cell r="C19">
            <v>2</v>
          </cell>
          <cell r="D19" t="str">
            <v>Msup</v>
          </cell>
          <cell r="E19">
            <v>-8.1329999999999991</v>
          </cell>
          <cell r="F19">
            <v>-5.7380000000000004</v>
          </cell>
          <cell r="G19">
            <v>144.47</v>
          </cell>
          <cell r="H19">
            <v>8.952</v>
          </cell>
          <cell r="I19">
            <v>147.15559999999999</v>
          </cell>
          <cell r="J19">
            <v>52.292999999999999</v>
          </cell>
          <cell r="AF19">
            <v>2</v>
          </cell>
          <cell r="AG19" t="str">
            <v>q+Fx</v>
          </cell>
          <cell r="AH19">
            <v>141.41759999999999</v>
          </cell>
          <cell r="AI19">
            <v>14.422699999999995</v>
          </cell>
          <cell r="AJ19">
            <v>-153.43130000000002</v>
          </cell>
          <cell r="AK19">
            <v>-14.228299999999997</v>
          </cell>
          <cell r="AL19">
            <v>129.80419999999998</v>
          </cell>
        </row>
        <row r="20">
          <cell r="D20" t="str">
            <v>Minf</v>
          </cell>
          <cell r="E20">
            <v>9.76</v>
          </cell>
          <cell r="F20">
            <v>6.79</v>
          </cell>
          <cell r="G20">
            <v>-157.48500000000001</v>
          </cell>
          <cell r="H20">
            <v>-9.1210000000000004</v>
          </cell>
          <cell r="I20">
            <v>-160.22130000000001</v>
          </cell>
          <cell r="J20">
            <v>-56.366500000000002</v>
          </cell>
          <cell r="AG20" t="str">
            <v>q-Fx</v>
          </cell>
          <cell r="AH20">
            <v>-152.89359999999999</v>
          </cell>
          <cell r="AI20">
            <v>-62.6267</v>
          </cell>
          <cell r="AJ20">
            <v>167.01130000000001</v>
          </cell>
          <cell r="AK20">
            <v>64.996299999999991</v>
          </cell>
          <cell r="AL20">
            <v>-953.6561999999999</v>
          </cell>
        </row>
        <row r="21">
          <cell r="D21" t="str">
            <v>V</v>
          </cell>
          <cell r="E21">
            <v>-5.5910000000000002</v>
          </cell>
          <cell r="F21">
            <v>-3.915</v>
          </cell>
          <cell r="G21">
            <v>94.093000000000004</v>
          </cell>
          <cell r="H21">
            <v>5.6459999999999999</v>
          </cell>
          <cell r="I21">
            <v>95.786799999999999</v>
          </cell>
          <cell r="J21">
            <v>33.873899999999999</v>
          </cell>
          <cell r="AG21" t="str">
            <v>q+Fy</v>
          </cell>
          <cell r="AH21">
            <v>46.555</v>
          </cell>
          <cell r="AI21">
            <v>57.224199999999996</v>
          </cell>
          <cell r="AJ21">
            <v>-49.576500000000003</v>
          </cell>
          <cell r="AK21">
            <v>-57.826399999999992</v>
          </cell>
          <cell r="AL21">
            <v>-55.345799999999997</v>
          </cell>
        </row>
        <row r="22">
          <cell r="D22" t="str">
            <v>N</v>
          </cell>
          <cell r="E22">
            <v>-134.071</v>
          </cell>
          <cell r="F22">
            <v>-94.478999999999999</v>
          </cell>
          <cell r="G22">
            <v>436.97800000000001</v>
          </cell>
          <cell r="H22">
            <v>27.148000000000003</v>
          </cell>
          <cell r="I22">
            <v>445.12240000000003</v>
          </cell>
          <cell r="J22">
            <v>158.2414</v>
          </cell>
          <cell r="AG22" t="str">
            <v>q-Fy</v>
          </cell>
          <cell r="AH22">
            <v>-58.030999999999999</v>
          </cell>
          <cell r="AI22">
            <v>-105.4282</v>
          </cell>
          <cell r="AJ22">
            <v>63.156500000000001</v>
          </cell>
          <cell r="AK22">
            <v>108.59439999999999</v>
          </cell>
          <cell r="AL22">
            <v>-768.50620000000004</v>
          </cell>
        </row>
        <row r="23">
          <cell r="C23">
            <v>1</v>
          </cell>
          <cell r="D23" t="str">
            <v>Msup</v>
          </cell>
          <cell r="E23">
            <v>-5.4630000000000001</v>
          </cell>
          <cell r="F23">
            <v>-3.9129999999999998</v>
          </cell>
          <cell r="G23">
            <v>118.10799999999999</v>
          </cell>
          <cell r="H23">
            <v>9.2210000000000001</v>
          </cell>
          <cell r="I23">
            <v>120.87429999999999</v>
          </cell>
          <cell r="J23">
            <v>44.653399999999991</v>
          </cell>
          <cell r="AF23">
            <v>1</v>
          </cell>
          <cell r="AG23" t="str">
            <v>q+Fx</v>
          </cell>
          <cell r="AH23">
            <v>116.96129999999999</v>
          </cell>
          <cell r="AI23">
            <v>15.061199999999999</v>
          </cell>
          <cell r="AJ23">
            <v>-282.50290000000001</v>
          </cell>
          <cell r="AK23">
            <v>-29.677699999999998</v>
          </cell>
          <cell r="AL23">
            <v>228.85350000000005</v>
          </cell>
        </row>
        <row r="24">
          <cell r="D24" t="str">
            <v>Minf</v>
          </cell>
          <cell r="E24">
            <v>3.3079999999999998</v>
          </cell>
          <cell r="F24">
            <v>2.2719999999999998</v>
          </cell>
          <cell r="G24">
            <v>-278.77100000000002</v>
          </cell>
          <cell r="H24">
            <v>-20.012999999999998</v>
          </cell>
          <cell r="I24">
            <v>-284.7749</v>
          </cell>
          <cell r="J24">
            <v>-103.64429999999999</v>
          </cell>
          <cell r="AG24" t="str">
            <v>q-Fx</v>
          </cell>
          <cell r="AH24">
            <v>-124.78729999999999</v>
          </cell>
          <cell r="AI24">
            <v>-44.409199999999998</v>
          </cell>
          <cell r="AJ24">
            <v>287.04689999999999</v>
          </cell>
          <cell r="AK24">
            <v>45.545699999999997</v>
          </cell>
          <cell r="AL24">
            <v>-1221.9535000000001</v>
          </cell>
        </row>
        <row r="25">
          <cell r="D25" t="str">
            <v>V</v>
          </cell>
          <cell r="E25">
            <v>-2.37</v>
          </cell>
          <cell r="F25">
            <v>-1.6719999999999999</v>
          </cell>
          <cell r="G25">
            <v>107.122</v>
          </cell>
          <cell r="H25">
            <v>7.899</v>
          </cell>
          <cell r="I25">
            <v>109.49169999999999</v>
          </cell>
          <cell r="J25">
            <v>40.035600000000002</v>
          </cell>
          <cell r="AG25" t="str">
            <v>q+Fy</v>
          </cell>
          <cell r="AH25">
            <v>40.740399999999994</v>
          </cell>
          <cell r="AI25">
            <v>50.460900000000002</v>
          </cell>
          <cell r="AJ25">
            <v>-101.37229999999998</v>
          </cell>
          <cell r="AK25">
            <v>-74.028300000000002</v>
          </cell>
          <cell r="AL25">
            <v>-24.442900000000009</v>
          </cell>
        </row>
        <row r="26">
          <cell r="D26" t="str">
            <v>N</v>
          </cell>
          <cell r="E26">
            <v>-162.94999999999999</v>
          </cell>
          <cell r="F26">
            <v>-114.958</v>
          </cell>
          <cell r="G26">
            <v>589.84799999999996</v>
          </cell>
          <cell r="H26">
            <v>37.721000000000004</v>
          </cell>
          <cell r="I26">
            <v>601.16429999999991</v>
          </cell>
          <cell r="J26">
            <v>214.6754</v>
          </cell>
          <cell r="AG26" t="str">
            <v>q-Fy</v>
          </cell>
          <cell r="AH26">
            <v>-48.566399999999987</v>
          </cell>
          <cell r="AI26">
            <v>-79.808899999999994</v>
          </cell>
          <cell r="AJ26">
            <v>105.91629999999999</v>
          </cell>
          <cell r="AK26">
            <v>89.896299999999997</v>
          </cell>
          <cell r="AL26">
            <v>-968.6570999999999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tabSelected="1" topLeftCell="A31" zoomScale="90" zoomScaleNormal="90" workbookViewId="0">
      <selection activeCell="J41" sqref="J41"/>
    </sheetView>
  </sheetViews>
  <sheetFormatPr defaultRowHeight="12" x14ac:dyDescent="0.2"/>
  <cols>
    <col min="1" max="17" width="9.140625" style="8"/>
    <col min="18" max="18" width="11.42578125" style="8" bestFit="1" customWidth="1"/>
    <col min="19" max="19" width="10.28515625" style="8" bestFit="1" customWidth="1"/>
    <col min="20" max="20" width="11.42578125" style="8" bestFit="1" customWidth="1"/>
    <col min="21" max="21" width="13.140625" style="8" bestFit="1" customWidth="1"/>
    <col min="22" max="23" width="11.42578125" style="8" bestFit="1" customWidth="1"/>
    <col min="24" max="24" width="11" style="8" bestFit="1" customWidth="1"/>
    <col min="25" max="25" width="12.140625" style="8" bestFit="1" customWidth="1"/>
    <col min="26" max="16384" width="9.140625" style="8"/>
  </cols>
  <sheetData>
    <row r="1" spans="1:25" x14ac:dyDescent="0.2">
      <c r="J1" s="8" t="s">
        <v>0</v>
      </c>
    </row>
    <row r="2" spans="1:25" x14ac:dyDescent="0.2">
      <c r="A2" s="8" t="s">
        <v>1</v>
      </c>
      <c r="M2" s="8" t="s">
        <v>17</v>
      </c>
    </row>
    <row r="3" spans="1:25" x14ac:dyDescent="0.2">
      <c r="C3" s="8">
        <v>1</v>
      </c>
      <c r="D3" s="8">
        <v>5</v>
      </c>
      <c r="O3" s="8">
        <v>1</v>
      </c>
      <c r="P3" s="8">
        <v>2</v>
      </c>
      <c r="Q3" s="8">
        <v>2</v>
      </c>
      <c r="R3" s="8">
        <v>3</v>
      </c>
    </row>
    <row r="4" spans="1:25" x14ac:dyDescent="0.2">
      <c r="B4" s="16" t="s">
        <v>2</v>
      </c>
      <c r="C4" s="8">
        <f>[1]Foglio1!W338</f>
        <v>2.9083492903007571</v>
      </c>
      <c r="D4" s="8">
        <f>[1]Foglio1!W339</f>
        <v>2.8235736569912504</v>
      </c>
      <c r="N4" s="16" t="s">
        <v>2</v>
      </c>
      <c r="O4" s="8">
        <f>[1]Foglio1!W458</f>
        <v>2.9057254957153837</v>
      </c>
      <c r="P4" s="8">
        <f>[1]Foglio1!W459</f>
        <v>4.6057838914259541</v>
      </c>
      <c r="Q4" s="8">
        <f>[1]Foglio1!W482</f>
        <v>2.8065438381414118</v>
      </c>
      <c r="R4" s="8">
        <f>[1]Foglio1!W483</f>
        <v>1.7820873935636321</v>
      </c>
    </row>
    <row r="5" spans="1:25" x14ac:dyDescent="0.2">
      <c r="A5" s="8">
        <v>6</v>
      </c>
      <c r="B5" s="16" t="s">
        <v>3</v>
      </c>
      <c r="C5" s="8">
        <f>[1]Foglio1!X338</f>
        <v>2.2959165595667113</v>
      </c>
      <c r="D5" s="8">
        <f>[1]Foglio1!X339</f>
        <v>2.3806921928762175</v>
      </c>
      <c r="M5" s="8">
        <v>6</v>
      </c>
      <c r="N5" s="16" t="s">
        <v>3</v>
      </c>
      <c r="O5" s="8">
        <f>[1]Foglio1!X458</f>
        <v>-0.55204502272247491</v>
      </c>
      <c r="P5" s="8">
        <f>[1]Foglio1!X459</f>
        <v>-4.7881396213044006E-2</v>
      </c>
      <c r="Q5" s="8">
        <f>[1]Foglio1!X482</f>
        <v>1.6150238089065194</v>
      </c>
      <c r="R5" s="8">
        <f>[1]Foglio1!X483</f>
        <v>0.97551732056282103</v>
      </c>
    </row>
    <row r="8" spans="1:25" x14ac:dyDescent="0.2">
      <c r="G8" s="8">
        <v>1</v>
      </c>
      <c r="H8" s="8">
        <v>5</v>
      </c>
      <c r="U8" s="8">
        <v>1</v>
      </c>
      <c r="V8" s="8">
        <v>2</v>
      </c>
      <c r="W8" s="8">
        <v>2</v>
      </c>
      <c r="X8" s="8">
        <v>3</v>
      </c>
    </row>
    <row r="9" spans="1:25" x14ac:dyDescent="0.2">
      <c r="C9" s="8">
        <v>1</v>
      </c>
      <c r="D9" s="8">
        <v>5</v>
      </c>
      <c r="F9" s="8" t="s">
        <v>5</v>
      </c>
      <c r="G9" s="8">
        <f>'telaio 6'!C116</f>
        <v>-106.50241785082905</v>
      </c>
      <c r="H9" s="8">
        <f>'telaio 6'!T116</f>
        <v>-106.50241785082905</v>
      </c>
      <c r="O9" s="8">
        <v>1</v>
      </c>
      <c r="P9" s="8">
        <v>2</v>
      </c>
      <c r="Q9" s="8">
        <v>2</v>
      </c>
      <c r="R9" s="8">
        <v>3</v>
      </c>
      <c r="T9" s="8" t="s">
        <v>5</v>
      </c>
      <c r="U9" s="8">
        <f>'telaio 9'!C116</f>
        <v>-106.45454645408294</v>
      </c>
      <c r="V9" s="8">
        <f>'telaio 9'!T116</f>
        <v>-131.6559942859997</v>
      </c>
      <c r="W9" s="8">
        <f>'telaio 9'!T116</f>
        <v>-131.6559942859997</v>
      </c>
      <c r="X9" s="8">
        <f>'telaio 9'!AM116</f>
        <v>-106.45454645408294</v>
      </c>
      <c r="Y9" s="17"/>
    </row>
    <row r="10" spans="1:25" x14ac:dyDescent="0.2">
      <c r="B10" s="16" t="s">
        <v>2</v>
      </c>
      <c r="C10" s="8">
        <f>[1]Foglio1!W342</f>
        <v>5.2314229417363904</v>
      </c>
      <c r="D10" s="8">
        <f>[1]Foglio1!W343</f>
        <v>5.118924778176547</v>
      </c>
      <c r="F10" s="8" t="s">
        <v>6</v>
      </c>
      <c r="G10" s="8">
        <f>'telaio 6'!B116</f>
        <v>79.201838451828436</v>
      </c>
      <c r="H10" s="8">
        <f>'telaio 6'!S116</f>
        <v>79.201838451828436</v>
      </c>
      <c r="N10" s="16" t="s">
        <v>2</v>
      </c>
      <c r="O10" s="8">
        <f>[1]Foglio1!W462</f>
        <v>5.688392216703642</v>
      </c>
      <c r="P10" s="8">
        <f>[1]Foglio1!W463</f>
        <v>7.1883557965458884</v>
      </c>
      <c r="Q10" s="8">
        <f>[1]Foglio1!W486</f>
        <v>5.1594060921664564</v>
      </c>
      <c r="R10" s="8">
        <f>[1]Foglio1!W487</f>
        <v>4.0547796210081346</v>
      </c>
      <c r="T10" s="8" t="s">
        <v>6</v>
      </c>
      <c r="U10" s="8">
        <f>'telaio 9'!B116</f>
        <v>53.807975389162323</v>
      </c>
      <c r="V10" s="8">
        <f>'telaio 9'!S116</f>
        <v>79.194084344749228</v>
      </c>
      <c r="W10" s="8">
        <f>'telaio 9'!S116</f>
        <v>79.194084344749228</v>
      </c>
      <c r="X10" s="8">
        <f>'telaio 9'!AL116</f>
        <v>53.807975389162323</v>
      </c>
      <c r="Y10" s="17"/>
    </row>
    <row r="11" spans="1:25" x14ac:dyDescent="0.2">
      <c r="A11" s="8">
        <v>5</v>
      </c>
      <c r="B11" s="16" t="s">
        <v>3</v>
      </c>
      <c r="C11" s="8">
        <f>[1]Foglio1!X342</f>
        <v>4.1910224928425137</v>
      </c>
      <c r="D11" s="8">
        <f>[1]Foglio1!X343</f>
        <v>4.3035206564023554</v>
      </c>
      <c r="M11" s="8">
        <v>5</v>
      </c>
      <c r="N11" s="16" t="s">
        <v>3</v>
      </c>
      <c r="O11" s="8">
        <f>[1]Foglio1!X462</f>
        <v>-1.0773576496529456E-2</v>
      </c>
      <c r="P11" s="8">
        <f>[1]Foglio1!X463</f>
        <v>0.95814212750512107</v>
      </c>
      <c r="Q11" s="8">
        <f>[1]Foglio1!X486</f>
        <v>4.0266774569100159</v>
      </c>
      <c r="R11" s="8">
        <f>[1]Foglio1!X487</f>
        <v>2.7365983078824336</v>
      </c>
      <c r="Y11" s="17"/>
    </row>
    <row r="12" spans="1:25" x14ac:dyDescent="0.2">
      <c r="C12" s="18" t="s">
        <v>22</v>
      </c>
      <c r="D12" s="18" t="s">
        <v>22</v>
      </c>
      <c r="F12" s="19" t="s">
        <v>89</v>
      </c>
      <c r="G12" s="8">
        <f>1.3*MAX(-G9,G10)</f>
        <v>138.45314320607775</v>
      </c>
      <c r="H12" s="8">
        <f>1.3*MAX(-H9,H10)</f>
        <v>138.45314320607775</v>
      </c>
      <c r="O12" s="18" t="s">
        <v>22</v>
      </c>
      <c r="P12" s="18" t="s">
        <v>21</v>
      </c>
      <c r="Q12" s="18" t="s">
        <v>21</v>
      </c>
      <c r="R12" s="18" t="s">
        <v>22</v>
      </c>
      <c r="T12" s="19" t="s">
        <v>89</v>
      </c>
      <c r="U12" s="8">
        <f>1.3*MAX(-U9,U10)</f>
        <v>138.39091039030782</v>
      </c>
      <c r="V12" s="8">
        <f>1.3*MAX(V10-W9,W10-V9)</f>
        <v>274.10510221997362</v>
      </c>
      <c r="X12" s="8">
        <f>1.3*MAX(-X9,X10)</f>
        <v>138.39091039030782</v>
      </c>
      <c r="Y12" s="17"/>
    </row>
    <row r="13" spans="1:25" x14ac:dyDescent="0.2">
      <c r="C13" s="18" t="s">
        <v>23</v>
      </c>
      <c r="D13" s="18" t="s">
        <v>23</v>
      </c>
      <c r="F13" s="20" t="s">
        <v>7</v>
      </c>
      <c r="G13" s="8">
        <f>G12-G14</f>
        <v>49.460922104471791</v>
      </c>
      <c r="H13" s="8">
        <f>H12-H14</f>
        <v>49.460922104471791</v>
      </c>
      <c r="I13" s="17">
        <f>[2]Foglio1!Q12</f>
        <v>0.3572394310387933</v>
      </c>
      <c r="O13" s="18" t="s">
        <v>31</v>
      </c>
      <c r="P13" s="18" t="s">
        <v>23</v>
      </c>
      <c r="Q13" s="18" t="s">
        <v>23</v>
      </c>
      <c r="R13" s="18" t="s">
        <v>31</v>
      </c>
      <c r="T13" s="20" t="s">
        <v>7</v>
      </c>
      <c r="U13" s="8">
        <f>U12-U14</f>
        <v>67.307716145018787</v>
      </c>
      <c r="V13" s="8">
        <f>V12-V14</f>
        <v>97.921150761893642</v>
      </c>
      <c r="X13" s="8">
        <f>X12-X14</f>
        <v>49.438690088774194</v>
      </c>
      <c r="Y13" s="17">
        <f t="shared" ref="Y13:Y42" si="0">I13</f>
        <v>0.3572394310387933</v>
      </c>
    </row>
    <row r="14" spans="1:25" x14ac:dyDescent="0.2">
      <c r="A14" s="21"/>
      <c r="B14" s="21"/>
      <c r="F14" s="22" t="s">
        <v>8</v>
      </c>
      <c r="G14" s="8">
        <f>G12*$I$14</f>
        <v>88.992221101605963</v>
      </c>
      <c r="H14" s="8">
        <f>H12*$I$14</f>
        <v>88.992221101605963</v>
      </c>
      <c r="I14" s="17">
        <f>[2]Foglio1!Q13</f>
        <v>0.6427605689612067</v>
      </c>
      <c r="M14" s="21"/>
      <c r="N14" s="21"/>
      <c r="T14" s="22" t="s">
        <v>8</v>
      </c>
      <c r="U14" s="8">
        <f>U12*$Y$42</f>
        <v>71.083194245289036</v>
      </c>
      <c r="V14" s="8">
        <f>V12*Y14</f>
        <v>176.18395145807997</v>
      </c>
      <c r="X14" s="8">
        <f>X12*Y14</f>
        <v>88.952220301533629</v>
      </c>
      <c r="Y14" s="17">
        <f t="shared" si="0"/>
        <v>0.6427605689612067</v>
      </c>
    </row>
    <row r="15" spans="1:25" x14ac:dyDescent="0.2">
      <c r="A15" s="9"/>
      <c r="B15" s="9"/>
      <c r="F15" s="9"/>
      <c r="G15" s="8">
        <v>1</v>
      </c>
      <c r="H15" s="8">
        <v>5</v>
      </c>
      <c r="I15" s="17"/>
      <c r="M15" s="9"/>
      <c r="N15" s="9"/>
      <c r="T15" s="9"/>
      <c r="U15" s="8">
        <v>1</v>
      </c>
      <c r="V15" s="8">
        <v>2</v>
      </c>
      <c r="W15" s="8">
        <v>2</v>
      </c>
      <c r="X15" s="8">
        <v>3</v>
      </c>
      <c r="Y15" s="17"/>
    </row>
    <row r="16" spans="1:25" x14ac:dyDescent="0.2">
      <c r="C16" s="8">
        <v>1</v>
      </c>
      <c r="D16" s="8">
        <v>5</v>
      </c>
      <c r="F16" s="8" t="s">
        <v>5</v>
      </c>
      <c r="G16" s="8">
        <f>'telaio 6'!C94</f>
        <v>-193.61988810026659</v>
      </c>
      <c r="H16" s="8">
        <f>'telaio 6'!T94</f>
        <v>-193.61988810026659</v>
      </c>
      <c r="I16" s="17"/>
      <c r="O16" s="8">
        <v>1</v>
      </c>
      <c r="P16" s="8">
        <v>2</v>
      </c>
      <c r="Q16" s="8">
        <v>2</v>
      </c>
      <c r="R16" s="8">
        <v>3</v>
      </c>
      <c r="T16" s="8" t="s">
        <v>5</v>
      </c>
      <c r="U16" s="8">
        <f>'telaio 9'!C94</f>
        <v>-131.0877095800702</v>
      </c>
      <c r="V16" s="8">
        <f>'telaio 9'!T94</f>
        <v>-193.61988810026659</v>
      </c>
      <c r="W16" s="8">
        <f>'telaio 9'!T94</f>
        <v>-193.61988810026659</v>
      </c>
      <c r="X16" s="8">
        <f>'telaio 9'!AM94</f>
        <v>-131.0877095800702</v>
      </c>
      <c r="Y16" s="17"/>
    </row>
    <row r="17" spans="1:25" x14ac:dyDescent="0.2">
      <c r="B17" s="16" t="s">
        <v>2</v>
      </c>
      <c r="C17" s="8">
        <f>[1]Foglio1!W346</f>
        <v>8.3847642068157011</v>
      </c>
      <c r="D17" s="8">
        <f>[1]Foglio1!W347</f>
        <v>8.2571726215829209</v>
      </c>
      <c r="F17" s="8" t="s">
        <v>6</v>
      </c>
      <c r="G17" s="8">
        <f>'telaio 6'!B94</f>
        <v>162.41301642428678</v>
      </c>
      <c r="H17" s="8">
        <f>'telaio 6'!S94</f>
        <v>162.41301642428678</v>
      </c>
      <c r="I17" s="17"/>
      <c r="N17" s="16" t="s">
        <v>2</v>
      </c>
      <c r="O17" s="8">
        <f>[1]Foglio1!W466</f>
        <v>6.2546938572686077</v>
      </c>
      <c r="P17" s="8">
        <f>[1]Foglio1!W467</f>
        <v>8.556656890543934</v>
      </c>
      <c r="Q17" s="8">
        <f>[1]Foglio1!W490</f>
        <v>7.2472215630438246</v>
      </c>
      <c r="R17" s="8">
        <f>[1]Foglio1!W491</f>
        <v>4.9495513023336937</v>
      </c>
      <c r="T17" s="8" t="s">
        <v>6</v>
      </c>
      <c r="U17" s="8">
        <f>'telaio 9'!B94</f>
        <v>131.0877095800702</v>
      </c>
      <c r="V17" s="8">
        <f>'telaio 9'!S94</f>
        <v>162.41301642428678</v>
      </c>
      <c r="W17" s="8">
        <f>'telaio 9'!S94</f>
        <v>162.41301642428678</v>
      </c>
      <c r="X17" s="8">
        <f>'telaio 9'!AL94</f>
        <v>131.0877095800702</v>
      </c>
      <c r="Y17" s="17"/>
    </row>
    <row r="18" spans="1:25" x14ac:dyDescent="0.2">
      <c r="A18" s="8">
        <v>4</v>
      </c>
      <c r="B18" s="16" t="s">
        <v>3</v>
      </c>
      <c r="C18" s="8">
        <f>[1]Foglio1!X346</f>
        <v>7.4919273463708684</v>
      </c>
      <c r="D18" s="8">
        <f>[1]Foglio1!X347</f>
        <v>7.6195189316036496</v>
      </c>
      <c r="I18" s="17"/>
      <c r="M18" s="8">
        <v>4</v>
      </c>
      <c r="N18" s="16" t="s">
        <v>3</v>
      </c>
      <c r="O18" s="8">
        <f>[1]Foglio1!X466</f>
        <v>2.5923980504545288</v>
      </c>
      <c r="P18" s="8">
        <f>[1]Foglio1!X467</f>
        <v>3.8406329735233373</v>
      </c>
      <c r="Q18" s="8">
        <f>[1]Foglio1!X490</f>
        <v>6.3954008108908447</v>
      </c>
      <c r="R18" s="8">
        <f>[1]Foglio1!X491</f>
        <v>4.0085234302426995</v>
      </c>
      <c r="Y18" s="17"/>
    </row>
    <row r="19" spans="1:25" x14ac:dyDescent="0.2">
      <c r="C19" s="18" t="s">
        <v>20</v>
      </c>
      <c r="D19" s="18" t="s">
        <v>20</v>
      </c>
      <c r="F19" s="19" t="s">
        <v>89</v>
      </c>
      <c r="G19" s="8">
        <f>1.3*MAX(-G16,G17)</f>
        <v>251.70585453034658</v>
      </c>
      <c r="H19" s="8">
        <f>1.3*MAX(-H16,H17)</f>
        <v>251.70585453034658</v>
      </c>
      <c r="I19" s="17"/>
      <c r="O19" s="18" t="s">
        <v>22</v>
      </c>
      <c r="P19" s="18" t="s">
        <v>20</v>
      </c>
      <c r="Q19" s="18" t="s">
        <v>20</v>
      </c>
      <c r="R19" s="18" t="s">
        <v>22</v>
      </c>
      <c r="T19" s="19" t="s">
        <v>89</v>
      </c>
      <c r="U19" s="8">
        <f>1.3*MAX(-U16,U17)</f>
        <v>170.41402245409125</v>
      </c>
      <c r="V19" s="8">
        <f>1.3*MAX(V17-W16,W17-V16)</f>
        <v>462.84277588191941</v>
      </c>
      <c r="X19" s="8">
        <f>1.3*MAX(-X16,X17)</f>
        <v>170.41402245409125</v>
      </c>
      <c r="Y19" s="17"/>
    </row>
    <row r="20" spans="1:25" x14ac:dyDescent="0.2">
      <c r="C20" s="18" t="s">
        <v>21</v>
      </c>
      <c r="D20" s="18" t="s">
        <v>21</v>
      </c>
      <c r="F20" s="20" t="s">
        <v>9</v>
      </c>
      <c r="G20" s="8">
        <f>G19-G21</f>
        <v>89.919256261554295</v>
      </c>
      <c r="H20" s="8">
        <f>H19-H21</f>
        <v>106.38327458584931</v>
      </c>
      <c r="I20" s="17">
        <f>[2]Foglio1!Q19</f>
        <v>0.42264918622710601</v>
      </c>
      <c r="O20" s="18" t="s">
        <v>22</v>
      </c>
      <c r="P20" s="18" t="s">
        <v>21</v>
      </c>
      <c r="Q20" s="18" t="s">
        <v>21</v>
      </c>
      <c r="R20" s="18" t="s">
        <v>22</v>
      </c>
      <c r="T20" s="20" t="s">
        <v>9</v>
      </c>
      <c r="U20" s="8">
        <f>U19-U21</f>
        <v>82.882456789403008</v>
      </c>
      <c r="V20" s="8">
        <f>V19-V21</f>
        <v>195.62012257758806</v>
      </c>
      <c r="X20" s="8">
        <f>X19-X21</f>
        <v>72.025347911909435</v>
      </c>
      <c r="Y20" s="17">
        <f t="shared" si="0"/>
        <v>0.42264918622710601</v>
      </c>
    </row>
    <row r="21" spans="1:25" x14ac:dyDescent="0.2">
      <c r="A21" s="21"/>
      <c r="B21" s="21"/>
      <c r="F21" s="22" t="s">
        <v>10</v>
      </c>
      <c r="G21" s="8">
        <f>G19*$I$14</f>
        <v>161.78659826879229</v>
      </c>
      <c r="H21" s="8">
        <f>H19*I21</f>
        <v>145.32257994449728</v>
      </c>
      <c r="I21" s="17">
        <f>[2]Foglio1!Q20</f>
        <v>0.57735081377289399</v>
      </c>
      <c r="M21" s="21"/>
      <c r="N21" s="21"/>
      <c r="T21" s="22" t="s">
        <v>10</v>
      </c>
      <c r="U21" s="8">
        <f>U19*$Y$42</f>
        <v>87.531565664688245</v>
      </c>
      <c r="V21" s="8">
        <f>V19*Y21</f>
        <v>267.22265330433135</v>
      </c>
      <c r="X21" s="8">
        <f>X19*Y21</f>
        <v>98.388674542181818</v>
      </c>
      <c r="Y21" s="17">
        <f t="shared" si="0"/>
        <v>0.57735081377289399</v>
      </c>
    </row>
    <row r="22" spans="1:25" x14ac:dyDescent="0.2">
      <c r="A22" s="9"/>
      <c r="B22" s="9"/>
      <c r="F22" s="9"/>
      <c r="G22" s="8">
        <v>1</v>
      </c>
      <c r="H22" s="8">
        <v>5</v>
      </c>
      <c r="I22" s="17"/>
      <c r="M22" s="9"/>
      <c r="N22" s="9"/>
      <c r="T22" s="9"/>
      <c r="U22" s="8">
        <v>1</v>
      </c>
      <c r="V22" s="8">
        <v>2</v>
      </c>
      <c r="W22" s="8">
        <v>2</v>
      </c>
      <c r="X22" s="8">
        <v>3</v>
      </c>
      <c r="Y22" s="17"/>
    </row>
    <row r="23" spans="1:25" x14ac:dyDescent="0.2">
      <c r="C23" s="8">
        <v>1</v>
      </c>
      <c r="D23" s="8">
        <v>5</v>
      </c>
      <c r="F23" s="8" t="s">
        <v>5</v>
      </c>
      <c r="G23" s="8">
        <f>'telaio 6'!C70</f>
        <v>-226.18144627925523</v>
      </c>
      <c r="H23" s="8">
        <f>'telaio 6'!T70</f>
        <v>-226.18144627925523</v>
      </c>
      <c r="I23" s="17"/>
      <c r="O23" s="8">
        <v>1</v>
      </c>
      <c r="P23" s="8">
        <v>2</v>
      </c>
      <c r="Q23" s="8">
        <v>2</v>
      </c>
      <c r="R23" s="8">
        <v>3</v>
      </c>
      <c r="T23" s="8" t="s">
        <v>5</v>
      </c>
      <c r="U23" s="8">
        <f>'telaio 9'!C70</f>
        <v>-162.35841510539242</v>
      </c>
      <c r="V23" s="8">
        <f>'telaio 9'!T70</f>
        <v>-226.08726934753221</v>
      </c>
      <c r="W23" s="8">
        <f>V23</f>
        <v>-226.08726934753221</v>
      </c>
      <c r="X23" s="8">
        <f>'telaio 9'!AM70</f>
        <v>-131.0877095800702</v>
      </c>
      <c r="Y23" s="17"/>
    </row>
    <row r="24" spans="1:25" x14ac:dyDescent="0.2">
      <c r="B24" s="16" t="s">
        <v>2</v>
      </c>
      <c r="C24" s="8">
        <f>[1]Foglio1!W350</f>
        <v>10.679284355364089</v>
      </c>
      <c r="D24" s="8">
        <f>[1]Foglio1!W351</f>
        <v>10.566922326473822</v>
      </c>
      <c r="F24" s="8" t="s">
        <v>6</v>
      </c>
      <c r="G24" s="8">
        <f>'telaio 6'!B70</f>
        <v>226.18144627925523</v>
      </c>
      <c r="H24" s="8">
        <f>'telaio 6'!S70</f>
        <v>226.18144627925523</v>
      </c>
      <c r="I24" s="17"/>
      <c r="N24" s="16" t="s">
        <v>2</v>
      </c>
      <c r="O24" s="8">
        <f>[1]Foglio1!W470</f>
        <v>7.2009312669611685</v>
      </c>
      <c r="P24" s="8">
        <f>[1]Foglio1!W471</f>
        <v>9.9215724751439023</v>
      </c>
      <c r="Q24" s="8">
        <f>[1]Foglio1!W494</f>
        <v>9.2496415083624388</v>
      </c>
      <c r="R24" s="8">
        <f>[1]Foglio1!W495</f>
        <v>6.0758937444983978</v>
      </c>
      <c r="T24" s="8" t="s">
        <v>6</v>
      </c>
      <c r="U24" s="8">
        <f>'telaio 9'!B70</f>
        <v>131.08671773942359</v>
      </c>
      <c r="V24" s="8">
        <f>'telaio 9'!S70</f>
        <v>193.72035743428009</v>
      </c>
      <c r="W24" s="8">
        <f>V24</f>
        <v>193.72035743428009</v>
      </c>
      <c r="X24" s="8">
        <f>'telaio 9'!AL70</f>
        <v>131.0877095800702</v>
      </c>
      <c r="Y24" s="17"/>
    </row>
    <row r="25" spans="1:25" x14ac:dyDescent="0.2">
      <c r="A25" s="8">
        <v>3</v>
      </c>
      <c r="B25" s="16" t="s">
        <v>3</v>
      </c>
      <c r="C25" s="8">
        <f>[1]Foglio1!X350</f>
        <v>9.8006198305201622</v>
      </c>
      <c r="D25" s="8">
        <f>[1]Foglio1!X351</f>
        <v>9.9129818594104293</v>
      </c>
      <c r="I25" s="17"/>
      <c r="M25" s="8">
        <v>3</v>
      </c>
      <c r="N25" s="16" t="s">
        <v>3</v>
      </c>
      <c r="O25" s="8">
        <f>[1]Foglio1!X470</f>
        <v>4.0317171293084915</v>
      </c>
      <c r="P25" s="8">
        <f>[1]Foglio1!X471</f>
        <v>5.098826561035863</v>
      </c>
      <c r="Q25" s="8">
        <f>[1]Foglio1!X494</f>
        <v>8.1019206430335995</v>
      </c>
      <c r="R25" s="8">
        <f>[1]Foglio1!X495</f>
        <v>5.2935960311375592</v>
      </c>
      <c r="Y25" s="17"/>
    </row>
    <row r="26" spans="1:25" x14ac:dyDescent="0.2">
      <c r="C26" s="18" t="s">
        <v>19</v>
      </c>
      <c r="D26" s="18" t="s">
        <v>19</v>
      </c>
      <c r="F26" s="19" t="s">
        <v>89</v>
      </c>
      <c r="G26" s="8">
        <f>1.3*MAX(-G23,G24)</f>
        <v>294.03588016303178</v>
      </c>
      <c r="H26" s="8">
        <f>1.3*MAX(-H23,H24)</f>
        <v>294.03588016303178</v>
      </c>
      <c r="I26" s="17"/>
      <c r="O26" s="18" t="s">
        <v>21</v>
      </c>
      <c r="P26" s="18" t="s">
        <v>19</v>
      </c>
      <c r="Q26" s="18" t="s">
        <v>19</v>
      </c>
      <c r="R26" s="18" t="s">
        <v>22</v>
      </c>
      <c r="T26" s="19" t="s">
        <v>89</v>
      </c>
      <c r="U26" s="8">
        <f>1.3*MAX(-U23,U24)</f>
        <v>211.06593963701016</v>
      </c>
      <c r="V26" s="8">
        <f>1.3*MAX(V24-W23,W24-V23)</f>
        <v>545.74991481635607</v>
      </c>
      <c r="X26" s="8">
        <f>1.3*MAX(-X23,X24)</f>
        <v>170.41402245409125</v>
      </c>
      <c r="Y26" s="17"/>
    </row>
    <row r="27" spans="1:25" x14ac:dyDescent="0.2">
      <c r="C27" s="18" t="s">
        <v>19</v>
      </c>
      <c r="D27" s="18" t="s">
        <v>19</v>
      </c>
      <c r="F27" s="20" t="s">
        <v>11</v>
      </c>
      <c r="G27" s="8">
        <f>G26-G28</f>
        <v>105.04121053443228</v>
      </c>
      <c r="H27" s="8">
        <f>H26-H28</f>
        <v>133.44150438250412</v>
      </c>
      <c r="I27" s="17">
        <f>[2]Foglio1!Q26</f>
        <v>0.45382728226404156</v>
      </c>
      <c r="O27" s="18" t="s">
        <v>22</v>
      </c>
      <c r="P27" s="18" t="s">
        <v>20</v>
      </c>
      <c r="Q27" s="18" t="s">
        <v>20</v>
      </c>
      <c r="R27" s="18" t="s">
        <v>22</v>
      </c>
      <c r="T27" s="20" t="s">
        <v>11</v>
      </c>
      <c r="U27" s="8">
        <f>U26-U28</f>
        <v>102.6538976649762</v>
      </c>
      <c r="V27" s="8">
        <f>V26-V28</f>
        <v>247.67620063693909</v>
      </c>
      <c r="X27" s="8">
        <f>X26-X28</f>
        <v>77.338532670023582</v>
      </c>
      <c r="Y27" s="17">
        <f t="shared" si="0"/>
        <v>0.45382728226404156</v>
      </c>
    </row>
    <row r="28" spans="1:25" x14ac:dyDescent="0.2">
      <c r="A28" s="21"/>
      <c r="B28" s="21"/>
      <c r="F28" s="22" t="s">
        <v>12</v>
      </c>
      <c r="G28" s="8">
        <f>G26*$I$14</f>
        <v>188.9946696285995</v>
      </c>
      <c r="H28" s="8">
        <f>H26*I28</f>
        <v>160.59437578052766</v>
      </c>
      <c r="I28" s="17">
        <f>[2]Foglio1!Q27</f>
        <v>0.54617271773595844</v>
      </c>
      <c r="M28" s="21"/>
      <c r="N28" s="21"/>
      <c r="T28" s="22" t="s">
        <v>12</v>
      </c>
      <c r="U28" s="8">
        <f>U26*$Y$42</f>
        <v>108.41204197203396</v>
      </c>
      <c r="V28" s="8">
        <f>V26*Y28</f>
        <v>298.07371417941698</v>
      </c>
      <c r="X28" s="8">
        <f>X26*Y28</f>
        <v>93.07548978406767</v>
      </c>
      <c r="Y28" s="17">
        <f t="shared" si="0"/>
        <v>0.54617271773595844</v>
      </c>
    </row>
    <row r="29" spans="1:25" x14ac:dyDescent="0.2">
      <c r="A29" s="9"/>
      <c r="B29" s="9"/>
      <c r="F29" s="9"/>
      <c r="G29" s="8">
        <v>1</v>
      </c>
      <c r="H29" s="8">
        <v>5</v>
      </c>
      <c r="I29" s="17"/>
      <c r="M29" s="9"/>
      <c r="N29" s="9"/>
      <c r="T29" s="9"/>
      <c r="U29" s="8">
        <v>1</v>
      </c>
      <c r="V29" s="8">
        <v>2</v>
      </c>
      <c r="W29" s="8">
        <v>2</v>
      </c>
      <c r="X29" s="8">
        <v>3</v>
      </c>
      <c r="Y29" s="17"/>
    </row>
    <row r="30" spans="1:25" x14ac:dyDescent="0.2">
      <c r="C30" s="8">
        <v>1</v>
      </c>
      <c r="D30" s="8">
        <v>5</v>
      </c>
      <c r="F30" s="8" t="s">
        <v>5</v>
      </c>
      <c r="G30" s="8">
        <f>'telaio 6'!C46</f>
        <v>-290.01238294285196</v>
      </c>
      <c r="H30" s="8">
        <f>'telaio 6'!T46</f>
        <v>-290.01238294285196</v>
      </c>
      <c r="I30" s="17"/>
      <c r="O30" s="8">
        <v>1</v>
      </c>
      <c r="P30" s="8">
        <v>2</v>
      </c>
      <c r="Q30" s="8">
        <v>2</v>
      </c>
      <c r="R30" s="8">
        <v>3</v>
      </c>
      <c r="T30" s="8" t="s">
        <v>5</v>
      </c>
      <c r="U30" s="8">
        <f>'telaio 9'!C46</f>
        <v>-193.49009763102754</v>
      </c>
      <c r="V30" s="8">
        <f>'telaio 9'!T46</f>
        <v>-257.34472955330352</v>
      </c>
      <c r="W30" s="8">
        <f>'telaio 9'!T46</f>
        <v>-257.34472955330352</v>
      </c>
      <c r="X30" s="8">
        <f>'telaio 9'!AM46</f>
        <v>-162.39716135822118</v>
      </c>
      <c r="Y30" s="17"/>
    </row>
    <row r="31" spans="1:25" x14ac:dyDescent="0.2">
      <c r="B31" s="16" t="s">
        <v>2</v>
      </c>
      <c r="C31" s="8">
        <f>[1]Foglio1!W354</f>
        <v>12.750510102669569</v>
      </c>
      <c r="D31" s="8">
        <f>[1]Foglio1!W355</f>
        <v>12.672919734381527</v>
      </c>
      <c r="F31" s="8" t="s">
        <v>6</v>
      </c>
      <c r="G31" s="8">
        <f>'telaio 6'!B46</f>
        <v>257.52279926796518</v>
      </c>
      <c r="H31" s="8">
        <f>'telaio 6'!S46</f>
        <v>257.52279926796518</v>
      </c>
      <c r="I31" s="17"/>
      <c r="N31" s="16" t="s">
        <v>2</v>
      </c>
      <c r="O31" s="8">
        <f>[1]Foglio1!W474</f>
        <v>7.9009574312730457</v>
      </c>
      <c r="P31" s="8">
        <f>[1]Foglio1!W475</f>
        <v>11.008563741537163</v>
      </c>
      <c r="Q31" s="8">
        <f>[1]Foglio1!W498</f>
        <v>11.053072481228625</v>
      </c>
      <c r="R31" s="8">
        <f>[1]Foglio1!W499</f>
        <v>7.0384818208738462</v>
      </c>
      <c r="T31" s="8" t="s">
        <v>6</v>
      </c>
      <c r="U31" s="8">
        <f>'telaio 9'!B46</f>
        <v>131.08215005342134</v>
      </c>
      <c r="V31" s="8">
        <f>'telaio 9'!S46</f>
        <v>226.23310540928767</v>
      </c>
      <c r="W31" s="8">
        <f>'telaio 9'!S46</f>
        <v>226.23310540928767</v>
      </c>
      <c r="X31" s="8">
        <f>'telaio 9'!AL46</f>
        <v>162.39716135822118</v>
      </c>
      <c r="Y31" s="17"/>
    </row>
    <row r="32" spans="1:25" x14ac:dyDescent="0.2">
      <c r="A32" s="8">
        <v>2</v>
      </c>
      <c r="B32" s="16" t="s">
        <v>3</v>
      </c>
      <c r="C32" s="8">
        <f>[1]Foglio1!X354</f>
        <v>11.898141725384248</v>
      </c>
      <c r="D32" s="8">
        <f>[1]Foglio1!X355</f>
        <v>11.975732093672294</v>
      </c>
      <c r="I32" s="17"/>
      <c r="K32" s="18" t="s">
        <v>18</v>
      </c>
      <c r="L32" s="8">
        <v>12.5</v>
      </c>
      <c r="M32" s="8">
        <v>2</v>
      </c>
      <c r="N32" s="16" t="s">
        <v>3</v>
      </c>
      <c r="O32" s="8">
        <f>[1]Foglio1!X474</f>
        <v>5.1563271999318498</v>
      </c>
      <c r="P32" s="8">
        <f>[1]Foglio1!X475</f>
        <v>5.9599609969211294</v>
      </c>
      <c r="Q32" s="8">
        <f>[1]Foglio1!X498</f>
        <v>9.5169028553580048</v>
      </c>
      <c r="R32" s="8">
        <f>[1]Foglio1!X499</f>
        <v>6.4867545706416134</v>
      </c>
      <c r="Y32" s="17"/>
    </row>
    <row r="33" spans="1:31" x14ac:dyDescent="0.2">
      <c r="C33" s="18" t="s">
        <v>30</v>
      </c>
      <c r="D33" s="18" t="s">
        <v>30</v>
      </c>
      <c r="F33" s="19" t="s">
        <v>89</v>
      </c>
      <c r="G33" s="8">
        <f>1.3*MAX(-G30,G31)</f>
        <v>377.01609782570756</v>
      </c>
      <c r="H33" s="8">
        <f>1.3*MAX(-H30,H31)</f>
        <v>377.01609782570756</v>
      </c>
      <c r="I33" s="17"/>
      <c r="K33" s="18" t="s">
        <v>19</v>
      </c>
      <c r="L33" s="8">
        <v>10.96</v>
      </c>
      <c r="O33" s="18" t="s">
        <v>20</v>
      </c>
      <c r="P33" s="18" t="s">
        <v>18</v>
      </c>
      <c r="Q33" s="18" t="s">
        <v>18</v>
      </c>
      <c r="R33" s="18" t="s">
        <v>21</v>
      </c>
      <c r="T33" s="19" t="s">
        <v>89</v>
      </c>
      <c r="U33" s="8">
        <f>1.3*MAX(-U30,U31)</f>
        <v>251.53712692033582</v>
      </c>
      <c r="V33" s="8">
        <f>1.3*MAX(V31-W30,W31-V30)</f>
        <v>628.65118545136852</v>
      </c>
      <c r="X33" s="8">
        <f>1.3*MAX(-X30,X31)</f>
        <v>211.11630976568753</v>
      </c>
      <c r="Y33" s="17"/>
    </row>
    <row r="34" spans="1:31" x14ac:dyDescent="0.2">
      <c r="C34" s="18" t="s">
        <v>18</v>
      </c>
      <c r="D34" s="18" t="s">
        <v>18</v>
      </c>
      <c r="F34" s="20" t="s">
        <v>13</v>
      </c>
      <c r="G34" s="8">
        <f>G33-G35</f>
        <v>134.68501627972179</v>
      </c>
      <c r="H34" s="8">
        <f>H33-H35</f>
        <v>178.21537259790625</v>
      </c>
      <c r="I34" s="17">
        <f>[2]Foglio1!Q33</f>
        <v>0.47269963703325535</v>
      </c>
      <c r="K34" s="18" t="s">
        <v>20</v>
      </c>
      <c r="L34" s="8">
        <v>9.36</v>
      </c>
      <c r="O34" s="18" t="s">
        <v>22</v>
      </c>
      <c r="P34" s="18" t="s">
        <v>19</v>
      </c>
      <c r="Q34" s="18" t="s">
        <v>19</v>
      </c>
      <c r="R34" s="18" t="s">
        <v>21</v>
      </c>
      <c r="T34" s="20" t="s">
        <v>13</v>
      </c>
      <c r="U34" s="8">
        <f>U33-U35</f>
        <v>122.33743886024212</v>
      </c>
      <c r="V34" s="8">
        <f>V33-V35</f>
        <v>297.16318718338761</v>
      </c>
      <c r="X34" s="8">
        <f>X33-X35</f>
        <v>99.794602998040801</v>
      </c>
      <c r="Y34" s="17">
        <f t="shared" si="0"/>
        <v>0.47269963703325535</v>
      </c>
    </row>
    <row r="35" spans="1:31" x14ac:dyDescent="0.2">
      <c r="A35" s="21"/>
      <c r="B35" s="21"/>
      <c r="F35" s="22" t="s">
        <v>14</v>
      </c>
      <c r="G35" s="8">
        <f>G33*$I$14</f>
        <v>242.33108154598577</v>
      </c>
      <c r="H35" s="8">
        <f>H33*I35</f>
        <v>198.80072522780131</v>
      </c>
      <c r="I35" s="17">
        <f>[2]Foglio1!Q34</f>
        <v>0.52730036296674465</v>
      </c>
      <c r="K35" s="18" t="s">
        <v>21</v>
      </c>
      <c r="L35" s="8">
        <v>7.82</v>
      </c>
      <c r="M35" s="21"/>
      <c r="N35" s="21"/>
      <c r="T35" s="22" t="s">
        <v>14</v>
      </c>
      <c r="U35" s="8">
        <f>U33*$Y$42</f>
        <v>129.19968806009371</v>
      </c>
      <c r="V35" s="8">
        <f>V33*Y35</f>
        <v>331.48799826798091</v>
      </c>
      <c r="X35" s="8">
        <f>X33*Y35</f>
        <v>111.32170676764673</v>
      </c>
      <c r="Y35" s="17">
        <f t="shared" si="0"/>
        <v>0.52730036296674465</v>
      </c>
    </row>
    <row r="36" spans="1:31" x14ac:dyDescent="0.2">
      <c r="A36" s="9"/>
      <c r="B36" s="9"/>
      <c r="F36" s="9"/>
      <c r="G36" s="8">
        <v>1</v>
      </c>
      <c r="H36" s="8">
        <v>5</v>
      </c>
      <c r="I36" s="17"/>
      <c r="K36" s="18" t="s">
        <v>22</v>
      </c>
      <c r="L36" s="8">
        <v>6.28</v>
      </c>
      <c r="M36" s="9"/>
      <c r="N36" s="9"/>
      <c r="T36" s="9"/>
      <c r="U36" s="8">
        <v>1</v>
      </c>
      <c r="V36" s="8">
        <v>2</v>
      </c>
      <c r="W36" s="8">
        <v>2</v>
      </c>
      <c r="X36" s="8">
        <v>3</v>
      </c>
      <c r="Y36" s="17"/>
    </row>
    <row r="37" spans="1:31" x14ac:dyDescent="0.2">
      <c r="B37" s="23"/>
      <c r="C37" s="8">
        <v>1</v>
      </c>
      <c r="D37" s="8">
        <v>5</v>
      </c>
      <c r="F37" s="8" t="s">
        <v>5</v>
      </c>
      <c r="G37" s="8">
        <f>'telaio 6'!C22</f>
        <v>-290.14477155749103</v>
      </c>
      <c r="H37" s="8">
        <f>'telaio 6'!U22</f>
        <v>-290.14477155749103</v>
      </c>
      <c r="I37" s="17"/>
      <c r="K37" s="18" t="s">
        <v>23</v>
      </c>
      <c r="L37" s="8">
        <v>4.62</v>
      </c>
      <c r="N37" s="23"/>
      <c r="O37" s="8">
        <v>1</v>
      </c>
      <c r="P37" s="8">
        <v>2</v>
      </c>
      <c r="Q37" s="8">
        <v>2</v>
      </c>
      <c r="R37" s="8">
        <v>3</v>
      </c>
      <c r="T37" s="8" t="s">
        <v>5</v>
      </c>
      <c r="U37" s="8">
        <f>'telaio 9'!C22</f>
        <v>-162.35841510539242</v>
      </c>
      <c r="V37" s="8">
        <f>'telaio 9'!U22</f>
        <v>-257.34472955330352</v>
      </c>
      <c r="W37" s="8">
        <f>'telaio 9'!U22</f>
        <v>-257.34472955330352</v>
      </c>
      <c r="X37" s="8">
        <f>'telaio 9'!AM22</f>
        <v>-162.39716135822118</v>
      </c>
      <c r="Y37" s="17"/>
    </row>
    <row r="38" spans="1:31" x14ac:dyDescent="0.2">
      <c r="B38" s="16" t="s">
        <v>2</v>
      </c>
      <c r="C38" s="23">
        <f>[1]Foglio1!W358</f>
        <v>13.266849614025691</v>
      </c>
      <c r="D38" s="23">
        <f>[1]Foglio1!W359</f>
        <v>13.227773011410884</v>
      </c>
      <c r="F38" s="8" t="s">
        <v>6</v>
      </c>
      <c r="G38" s="8">
        <f>'telaio 6'!B22</f>
        <v>290.14477155749103</v>
      </c>
      <c r="H38" s="8">
        <f>'telaio 6'!T22</f>
        <v>290.14477155749103</v>
      </c>
      <c r="I38" s="17"/>
      <c r="K38" s="18" t="s">
        <v>31</v>
      </c>
      <c r="L38" s="8">
        <v>3.08</v>
      </c>
      <c r="N38" s="16" t="s">
        <v>2</v>
      </c>
      <c r="O38" s="8">
        <f>[1]Foglio1!W478</f>
        <v>7.3348676978245084</v>
      </c>
      <c r="P38" s="8">
        <f>[1]Foglio1!W479</f>
        <v>11.397075884617413</v>
      </c>
      <c r="Q38" s="8">
        <f>[1]Foglio1!W502</f>
        <v>12.095875470044904</v>
      </c>
      <c r="R38" s="8">
        <f>[1]Foglio1!W503</f>
        <v>6.679733610796732</v>
      </c>
      <c r="T38" s="8" t="s">
        <v>6</v>
      </c>
      <c r="U38" s="8">
        <f>'telaio 9'!B22</f>
        <v>131.08671773942359</v>
      </c>
      <c r="V38" s="8">
        <f>'telaio 9'!T22</f>
        <v>226.23310540928767</v>
      </c>
      <c r="W38" s="8">
        <f>'telaio 9'!T22</f>
        <v>226.23310540928767</v>
      </c>
      <c r="X38" s="8">
        <f>'telaio 9'!AL22</f>
        <v>162.39716135822118</v>
      </c>
      <c r="Y38" s="17"/>
    </row>
    <row r="39" spans="1:31" x14ac:dyDescent="0.2">
      <c r="A39" s="8">
        <v>1</v>
      </c>
      <c r="B39" s="16" t="s">
        <v>3</v>
      </c>
      <c r="C39" s="23">
        <f>[1]Foglio1!X358</f>
        <v>12.492857548505388</v>
      </c>
      <c r="D39" s="23">
        <f>[1]Foglio1!X359</f>
        <v>12.531934151120193</v>
      </c>
      <c r="I39" s="17"/>
      <c r="K39" s="18"/>
      <c r="M39" s="8">
        <v>1</v>
      </c>
      <c r="N39" s="16" t="s">
        <v>3</v>
      </c>
      <c r="O39" s="8">
        <f>[1]Foglio1!X478</f>
        <v>5.4065487852863274</v>
      </c>
      <c r="P39" s="8">
        <f>[1]Foglio1!X479</f>
        <v>5.7647503843517134</v>
      </c>
      <c r="Q39" s="8">
        <f>[1]Foglio1!X502</f>
        <v>9.7624802753540294</v>
      </c>
      <c r="R39" s="8">
        <f>[1]Foglio1!X503</f>
        <v>6.5742447843776741</v>
      </c>
      <c r="Y39" s="17"/>
    </row>
    <row r="40" spans="1:31" x14ac:dyDescent="0.2">
      <c r="C40" s="18" t="s">
        <v>30</v>
      </c>
      <c r="D40" s="18" t="s">
        <v>30</v>
      </c>
      <c r="F40" s="19" t="s">
        <v>89</v>
      </c>
      <c r="G40" s="8">
        <f>1.3*MAX(-G37,G38)</f>
        <v>377.18820302473836</v>
      </c>
      <c r="H40" s="8">
        <f>1.3*MAX(-H37,H38)</f>
        <v>377.18820302473836</v>
      </c>
      <c r="I40" s="17"/>
      <c r="K40" s="18" t="s">
        <v>30</v>
      </c>
      <c r="L40" s="23">
        <f>C70+F73</f>
        <v>14.11</v>
      </c>
      <c r="O40" s="18" t="s">
        <v>21</v>
      </c>
      <c r="P40" s="18" t="s">
        <v>18</v>
      </c>
      <c r="Q40" s="18" t="s">
        <v>18</v>
      </c>
      <c r="R40" s="18" t="s">
        <v>21</v>
      </c>
      <c r="T40" s="19" t="s">
        <v>89</v>
      </c>
      <c r="U40" s="8">
        <f>1.3*MAX(-U37,U38)</f>
        <v>211.06593963701016</v>
      </c>
      <c r="V40" s="8">
        <f>1.3*MAX(V38-W37,W38-V37)</f>
        <v>628.65118545136852</v>
      </c>
      <c r="X40" s="8">
        <f>1.3*MAX(-X37,X38)</f>
        <v>211.11630976568753</v>
      </c>
      <c r="Y40" s="17"/>
    </row>
    <row r="41" spans="1:31" x14ac:dyDescent="0.2">
      <c r="C41" s="18" t="s">
        <v>30</v>
      </c>
      <c r="D41" s="18" t="s">
        <v>30</v>
      </c>
      <c r="F41" s="20" t="s">
        <v>15</v>
      </c>
      <c r="G41" s="8">
        <f>G40-G42</f>
        <v>134.74649904310238</v>
      </c>
      <c r="H41" s="8">
        <f>H40-H42</f>
        <v>183.44901721389954</v>
      </c>
      <c r="I41" s="17">
        <f>[2]Foglio1!Q40</f>
        <v>0.48635937111179428</v>
      </c>
      <c r="O41" s="18" t="s">
        <v>22</v>
      </c>
      <c r="P41" s="18" t="s">
        <v>19</v>
      </c>
      <c r="Q41" s="18" t="s">
        <v>19</v>
      </c>
      <c r="R41" s="18" t="s">
        <v>21</v>
      </c>
      <c r="T41" s="20" t="s">
        <v>15</v>
      </c>
      <c r="U41" s="8">
        <f>U40-U42</f>
        <v>102.6538976649762</v>
      </c>
      <c r="V41" s="8">
        <f>V40-V42</f>
        <v>305.75039520481153</v>
      </c>
      <c r="X41" s="8">
        <f>X40-X42</f>
        <v>102.67839564908255</v>
      </c>
      <c r="Y41" s="17">
        <f t="shared" si="0"/>
        <v>0.48635937111179428</v>
      </c>
    </row>
    <row r="42" spans="1:31" x14ac:dyDescent="0.2">
      <c r="F42" s="20" t="s">
        <v>16</v>
      </c>
      <c r="G42" s="8">
        <f>G40*$I$14</f>
        <v>242.44170398163598</v>
      </c>
      <c r="H42" s="8">
        <f>H40*I42</f>
        <v>193.73918581083882</v>
      </c>
      <c r="I42" s="17">
        <f>[2]Foglio1!Q41</f>
        <v>0.51364062888820572</v>
      </c>
      <c r="T42" s="20" t="s">
        <v>16</v>
      </c>
      <c r="U42" s="8">
        <f>U40*$Y$42</f>
        <v>108.41204197203396</v>
      </c>
      <c r="V42" s="8">
        <f>V40*Y42</f>
        <v>322.90079024655699</v>
      </c>
      <c r="X42" s="8">
        <f>X40*$Y$42</f>
        <v>108.43791411660499</v>
      </c>
      <c r="Y42" s="17">
        <f t="shared" si="0"/>
        <v>0.51364062888820572</v>
      </c>
    </row>
    <row r="44" spans="1:31" x14ac:dyDescent="0.2">
      <c r="I44" s="6" t="s">
        <v>66</v>
      </c>
      <c r="Q44" s="9"/>
      <c r="R44" s="9"/>
      <c r="S44" s="9"/>
      <c r="T44" s="9"/>
      <c r="U44" s="10" t="s">
        <v>76</v>
      </c>
      <c r="V44" s="9"/>
      <c r="W44" s="9"/>
      <c r="X44" s="9"/>
      <c r="Y44" s="9"/>
    </row>
    <row r="45" spans="1:31" x14ac:dyDescent="0.2">
      <c r="Q45" s="9"/>
      <c r="R45" s="9" t="s">
        <v>67</v>
      </c>
      <c r="S45" s="9"/>
      <c r="T45" s="9"/>
      <c r="U45" s="9"/>
      <c r="V45" s="9" t="s">
        <v>68</v>
      </c>
      <c r="W45" s="9"/>
      <c r="X45" s="9"/>
      <c r="Y45" s="9"/>
    </row>
    <row r="46" spans="1:31" x14ac:dyDescent="0.2">
      <c r="H46" s="7" t="s">
        <v>60</v>
      </c>
      <c r="K46" s="7" t="s">
        <v>61</v>
      </c>
      <c r="Q46" s="9"/>
      <c r="R46" s="7" t="s">
        <v>69</v>
      </c>
      <c r="S46" s="7" t="s">
        <v>70</v>
      </c>
      <c r="T46" s="11" t="s">
        <v>58</v>
      </c>
      <c r="U46" s="12"/>
      <c r="V46" s="7" t="s">
        <v>69</v>
      </c>
      <c r="W46" s="7" t="s">
        <v>70</v>
      </c>
      <c r="X46" s="13" t="s">
        <v>58</v>
      </c>
      <c r="Y46" s="14"/>
    </row>
    <row r="47" spans="1:31" x14ac:dyDescent="0.2">
      <c r="F47" s="7" t="s">
        <v>62</v>
      </c>
      <c r="G47" s="7"/>
      <c r="H47" s="7" t="s">
        <v>63</v>
      </c>
      <c r="I47" s="7" t="s">
        <v>64</v>
      </c>
      <c r="J47" s="7" t="s">
        <v>65</v>
      </c>
      <c r="K47" s="7" t="s">
        <v>63</v>
      </c>
      <c r="L47" s="7" t="s">
        <v>64</v>
      </c>
      <c r="M47" s="7" t="s">
        <v>65</v>
      </c>
      <c r="Q47" s="7" t="s">
        <v>71</v>
      </c>
      <c r="R47" s="7" t="s">
        <v>72</v>
      </c>
      <c r="S47" s="13" t="s">
        <v>72</v>
      </c>
      <c r="T47" s="13" t="s">
        <v>73</v>
      </c>
      <c r="U47" s="15"/>
      <c r="V47" s="7" t="s">
        <v>72</v>
      </c>
      <c r="W47" s="7" t="s">
        <v>72</v>
      </c>
      <c r="X47" s="13" t="s">
        <v>73</v>
      </c>
      <c r="Y47" s="14"/>
    </row>
    <row r="48" spans="1:31" x14ac:dyDescent="0.2">
      <c r="F48" s="7">
        <v>5</v>
      </c>
      <c r="G48" s="7" t="s">
        <v>5</v>
      </c>
      <c r="H48" s="7"/>
      <c r="I48" s="7">
        <f>G9</f>
        <v>-106.50241785082905</v>
      </c>
      <c r="J48" s="7">
        <f>ABS(I48)</f>
        <v>106.50241785082905</v>
      </c>
      <c r="K48" s="7"/>
      <c r="L48" s="7">
        <f>U9</f>
        <v>-106.45454645408294</v>
      </c>
      <c r="M48" s="7">
        <f>ABS(L48)</f>
        <v>106.45454645408294</v>
      </c>
      <c r="Q48" s="7">
        <v>6</v>
      </c>
      <c r="R48" s="24">
        <f>G13</f>
        <v>49.460922104471791</v>
      </c>
      <c r="S48" s="24">
        <f>0.3*W48</f>
        <v>20.192314843505635</v>
      </c>
      <c r="T48" s="24">
        <f>'[1]INVILUPPO PIL'!AL3</f>
        <v>-26.115000000000002</v>
      </c>
      <c r="U48" s="24">
        <f>'[1]INVILUPPO PIL'!AL4</f>
        <v>-94.450999999999993</v>
      </c>
      <c r="V48" s="24">
        <f>'[1]INVILUPPO PIL'!$AT$3</f>
        <v>35.051692187500002</v>
      </c>
      <c r="W48" s="24">
        <f>U13</f>
        <v>67.307716145018787</v>
      </c>
      <c r="X48" s="24">
        <f>'[1]INVILUPPO PIL'!AL5</f>
        <v>-36.328000000000003</v>
      </c>
      <c r="Y48" s="24">
        <f>'[1]INVILUPPO PIL'!AL6</f>
        <v>-84.238</v>
      </c>
      <c r="Z48" s="11" t="s">
        <v>84</v>
      </c>
      <c r="AA48" s="12">
        <f>R58*(1-((X48+0.48*R57)/(0.48*R57))^2)</f>
        <v>5.3799030917094957</v>
      </c>
      <c r="AB48" s="12">
        <v>6</v>
      </c>
      <c r="AC48" s="25" t="s">
        <v>86</v>
      </c>
      <c r="AD48" s="12" t="s">
        <v>87</v>
      </c>
      <c r="AE48" s="26">
        <f>(R48-AA49)*10/((0.7-2*0.04)*391.3)</f>
        <v>1.6654258363306285</v>
      </c>
    </row>
    <row r="49" spans="1:31" x14ac:dyDescent="0.2">
      <c r="F49" s="7"/>
      <c r="G49" s="7" t="s">
        <v>6</v>
      </c>
      <c r="H49" s="7"/>
      <c r="I49" s="7">
        <f>G10</f>
        <v>79.201838451828436</v>
      </c>
      <c r="J49" s="7"/>
      <c r="K49" s="7"/>
      <c r="L49" s="7">
        <f>U10</f>
        <v>53.807975389162323</v>
      </c>
      <c r="M49" s="7"/>
      <c r="Q49" s="7">
        <v>5</v>
      </c>
      <c r="R49" s="24">
        <f>G14</f>
        <v>88.992221101605963</v>
      </c>
      <c r="S49" s="24">
        <f t="shared" ref="S49:S53" si="1">0.3*W49</f>
        <v>21.324958273586709</v>
      </c>
      <c r="T49" s="24">
        <f>'[1]INVILUPPO PIL'!AL7</f>
        <v>-51.174900000000008</v>
      </c>
      <c r="U49" s="24">
        <f>'[1]INVILUPPO PIL'!AL8</f>
        <v>-241.97310000000002</v>
      </c>
      <c r="V49" s="24">
        <f>'[1]INVILUPPO PIL'!$AT$7</f>
        <v>60.011712499999987</v>
      </c>
      <c r="W49" s="24">
        <f>U14</f>
        <v>71.083194245289036</v>
      </c>
      <c r="X49" s="24">
        <f>'[1]INVILUPPO PIL'!AL9</f>
        <v>-79.181900000000013</v>
      </c>
      <c r="Y49" s="24">
        <f>'[1]INVILUPPO PIL'!AL10</f>
        <v>-213.96610000000001</v>
      </c>
      <c r="Z49" s="27" t="s">
        <v>85</v>
      </c>
      <c r="AA49" s="21">
        <f>R59*(1-((T48+0.48*R57)/(0.48*R57))^2)</f>
        <v>9.0566920595889471</v>
      </c>
      <c r="AB49" s="21"/>
      <c r="AC49" s="28" t="s">
        <v>88</v>
      </c>
      <c r="AD49" s="21" t="s">
        <v>87</v>
      </c>
      <c r="AE49" s="29">
        <f>(W48-AA48)*10/((0.3-2*0.04)*391.3)</f>
        <v>7.1937147797910574</v>
      </c>
    </row>
    <row r="50" spans="1:31" x14ac:dyDescent="0.2">
      <c r="F50" s="7">
        <v>4</v>
      </c>
      <c r="G50" s="7" t="s">
        <v>5</v>
      </c>
      <c r="H50" s="7"/>
      <c r="I50" s="7">
        <f>G16</f>
        <v>-193.61988810026659</v>
      </c>
      <c r="J50" s="7">
        <f>ABS(I50)</f>
        <v>193.61988810026659</v>
      </c>
      <c r="K50" s="7"/>
      <c r="L50" s="7">
        <f>U16</f>
        <v>-131.0877095800702</v>
      </c>
      <c r="M50" s="7">
        <f>ABS(L50)</f>
        <v>131.0877095800702</v>
      </c>
      <c r="Q50" s="7">
        <v>4</v>
      </c>
      <c r="R50" s="24">
        <f>G21</f>
        <v>161.78659826879229</v>
      </c>
      <c r="S50" s="24">
        <f t="shared" si="1"/>
        <v>26.259469699406473</v>
      </c>
      <c r="T50" s="24">
        <f>'[1]INVILUPPO PIL'!AL11</f>
        <v>-21.796400000000006</v>
      </c>
      <c r="U50" s="24">
        <f>'[1]INVILUPPO PIL'!AL12</f>
        <v>-450.14760000000001</v>
      </c>
      <c r="V50" s="24">
        <f>'[1]INVILUPPO PIL'!$AT$11</f>
        <v>87.31959375000001</v>
      </c>
      <c r="W50" s="24">
        <f>U21</f>
        <v>87.531565664688245</v>
      </c>
      <c r="X50" s="24">
        <f>'[1]INVILUPPO PIL'!AL13</f>
        <v>-89.69919999999999</v>
      </c>
      <c r="Y50" s="24">
        <f>'[1]INVILUPPO PIL'!AL14</f>
        <v>-382.24480000000005</v>
      </c>
      <c r="Z50" s="11" t="s">
        <v>84</v>
      </c>
      <c r="AA50" s="12">
        <f>R58*(1-((X49+0.48*R57)/(0.48*R57))^2)</f>
        <v>11.548067647380753</v>
      </c>
      <c r="AB50" s="12">
        <v>5</v>
      </c>
      <c r="AC50" s="25" t="s">
        <v>86</v>
      </c>
      <c r="AD50" s="12" t="s">
        <v>87</v>
      </c>
      <c r="AE50" s="26">
        <f>(R49-AA51)*10/((0.7-2*0.04)*391.3)</f>
        <v>2.9431205577294874</v>
      </c>
    </row>
    <row r="51" spans="1:31" x14ac:dyDescent="0.2">
      <c r="F51" s="7"/>
      <c r="G51" s="7" t="s">
        <v>6</v>
      </c>
      <c r="H51" s="7"/>
      <c r="I51" s="7">
        <f>G17</f>
        <v>162.41301642428678</v>
      </c>
      <c r="J51" s="7"/>
      <c r="K51" s="7"/>
      <c r="L51" s="7">
        <f>U17</f>
        <v>131.0877095800702</v>
      </c>
      <c r="M51" s="7"/>
      <c r="Q51" s="7">
        <v>3</v>
      </c>
      <c r="R51" s="24">
        <f>G28</f>
        <v>188.9946696285995</v>
      </c>
      <c r="S51" s="24">
        <f t="shared" si="1"/>
        <v>32.523612591610188</v>
      </c>
      <c r="T51" s="24">
        <f>'[1]INVILUPPO PIL'!AL15</f>
        <v>39.598700000000008</v>
      </c>
      <c r="U51" s="24">
        <f>'[1]INVILUPPO PIL'!AL16</f>
        <v>-688.64070000000004</v>
      </c>
      <c r="V51" s="24">
        <f>'[1]INVILUPPO PIL'!$AT$15</f>
        <v>106.61483437499999</v>
      </c>
      <c r="W51" s="24">
        <f>U28</f>
        <v>108.41204197203396</v>
      </c>
      <c r="X51" s="24">
        <f>'[1]INVILUPPO PIL'!AL17</f>
        <v>-80.815299999999979</v>
      </c>
      <c r="Y51" s="24">
        <f>'[1]INVILUPPO PIL'!AL18</f>
        <v>-568.22670000000005</v>
      </c>
      <c r="Z51" s="27" t="s">
        <v>85</v>
      </c>
      <c r="AA51" s="21">
        <f>R59*(1-((T49+0.48*R57)/(0.48*R57))^2)</f>
        <v>17.590350498753956</v>
      </c>
      <c r="AB51" s="21"/>
      <c r="AC51" s="28" t="s">
        <v>88</v>
      </c>
      <c r="AD51" s="21" t="s">
        <v>87</v>
      </c>
      <c r="AE51" s="29">
        <f>(W49-AA50)*10/((0.3-2*0.04)*391.3)</f>
        <v>6.9157733659257348</v>
      </c>
    </row>
    <row r="52" spans="1:31" x14ac:dyDescent="0.2">
      <c r="F52" s="7">
        <v>3</v>
      </c>
      <c r="G52" s="7" t="s">
        <v>5</v>
      </c>
      <c r="H52" s="7"/>
      <c r="I52" s="7">
        <f>G23</f>
        <v>-226.18144627925523</v>
      </c>
      <c r="J52" s="7">
        <f>ABS(I52)</f>
        <v>226.18144627925523</v>
      </c>
      <c r="K52" s="7"/>
      <c r="L52" s="7">
        <f>U23</f>
        <v>-162.35841510539242</v>
      </c>
      <c r="M52" s="7">
        <f>ABS(L52)</f>
        <v>162.35841510539242</v>
      </c>
      <c r="Q52" s="7">
        <v>2</v>
      </c>
      <c r="R52" s="24">
        <f>G35</f>
        <v>242.33108154598577</v>
      </c>
      <c r="S52" s="24">
        <f t="shared" si="1"/>
        <v>38.759906418028109</v>
      </c>
      <c r="T52" s="24">
        <f>'[1]INVILUPPO PIL'!AL19</f>
        <v>129.80419999999998</v>
      </c>
      <c r="U52" s="24">
        <f>'[1]INVILUPPO PIL'!AL20</f>
        <v>-953.6561999999999</v>
      </c>
      <c r="V52" s="24">
        <f>'[1]INVILUPPO PIL'!$AT$19</f>
        <v>116.84685833333333</v>
      </c>
      <c r="W52" s="24">
        <f>U35</f>
        <v>129.19968806009371</v>
      </c>
      <c r="X52" s="24">
        <f>'[1]INVILUPPO PIL'!AL21</f>
        <v>-55.345799999999997</v>
      </c>
      <c r="Y52" s="24">
        <f>'[1]INVILUPPO PIL'!AL22</f>
        <v>-768.50620000000004</v>
      </c>
      <c r="Z52" s="11" t="s">
        <v>84</v>
      </c>
      <c r="AA52" s="12">
        <f>R58*(1-((X50+0.48*R57)/(0.48*R57))^2)</f>
        <v>13.032398184763244</v>
      </c>
      <c r="AB52" s="12">
        <v>4</v>
      </c>
      <c r="AC52" s="25" t="s">
        <v>86</v>
      </c>
      <c r="AD52" s="12" t="s">
        <v>87</v>
      </c>
      <c r="AE52" s="26">
        <f>(R50-AA53)*10/((0.7-2*0.04)*391.3)</f>
        <v>6.3566468073888291</v>
      </c>
    </row>
    <row r="53" spans="1:31" x14ac:dyDescent="0.2">
      <c r="F53" s="7"/>
      <c r="G53" s="7" t="s">
        <v>6</v>
      </c>
      <c r="H53" s="7"/>
      <c r="I53" s="7">
        <f>G24</f>
        <v>226.18144627925523</v>
      </c>
      <c r="J53" s="7"/>
      <c r="K53" s="7"/>
      <c r="L53" s="7">
        <f>U24</f>
        <v>131.08671773942359</v>
      </c>
      <c r="M53" s="7"/>
      <c r="Q53" s="7" t="s">
        <v>74</v>
      </c>
      <c r="R53" s="24">
        <f>G42</f>
        <v>242.44170398163598</v>
      </c>
      <c r="S53" s="24">
        <f t="shared" si="1"/>
        <v>32.523612591610188</v>
      </c>
      <c r="T53" s="30">
        <f>'[1]INVILUPPO PIL'!AL23</f>
        <v>228.85350000000005</v>
      </c>
      <c r="U53" s="30">
        <f>'[1]INVILUPPO PIL'!AL24</f>
        <v>-1221.9535000000001</v>
      </c>
      <c r="V53" s="24">
        <f>'[1]INVILUPPO PIL'!$AT$23</f>
        <v>83.67261666666667</v>
      </c>
      <c r="W53" s="24">
        <f>U42</f>
        <v>108.41204197203396</v>
      </c>
      <c r="X53" s="30">
        <f>'[1]INVILUPPO PIL'!AL25</f>
        <v>-24.442900000000009</v>
      </c>
      <c r="Y53" s="30">
        <f>'[1]INVILUPPO PIL'!AL26</f>
        <v>-968.6570999999999</v>
      </c>
      <c r="Z53" s="27" t="s">
        <v>85</v>
      </c>
      <c r="AA53" s="21">
        <f>R59*(1-((T50+0.48*R57)/(0.48*R57))^2)</f>
        <v>7.5705327334548578</v>
      </c>
      <c r="AB53" s="21"/>
      <c r="AC53" s="28" t="s">
        <v>88</v>
      </c>
      <c r="AD53" s="21" t="s">
        <v>87</v>
      </c>
      <c r="AE53" s="29">
        <f>(W50-AA52)*10/((0.3-2*0.04)*391.3)</f>
        <v>8.6540398531613736</v>
      </c>
    </row>
    <row r="54" spans="1:31" x14ac:dyDescent="0.2">
      <c r="F54" s="7">
        <v>2</v>
      </c>
      <c r="G54" s="7" t="s">
        <v>5</v>
      </c>
      <c r="H54" s="7"/>
      <c r="I54" s="7">
        <f>G30</f>
        <v>-290.01238294285196</v>
      </c>
      <c r="J54" s="7">
        <f>ABS(I54)</f>
        <v>290.01238294285196</v>
      </c>
      <c r="K54" s="7"/>
      <c r="L54" s="7">
        <f>U30</f>
        <v>-193.49009763102754</v>
      </c>
      <c r="M54" s="7">
        <f>ABS(L54)</f>
        <v>193.49009763102754</v>
      </c>
      <c r="Q54" s="7" t="s">
        <v>75</v>
      </c>
      <c r="R54" s="30">
        <f>MAX(MAX('[1]INVILUPPO PIL'!$AV$23:$AV$26),-MIN('[1]INVILUPPO PIL'!$AV$23:$AV$26))</f>
        <v>287.04689999999999</v>
      </c>
      <c r="S54" s="24">
        <f>ABS('[1]INVILUPPO PIL'!$AW$24)</f>
        <v>45.545699999999997</v>
      </c>
      <c r="T54" s="23"/>
      <c r="U54" s="23"/>
      <c r="V54" s="24">
        <f>MAX(MAX('[1]INVILUPPO PIL'!$AV$25:$AV$26),-MIN('[1]INVILUPPO PIL'!$AV$25:$AV$26))</f>
        <v>105.91629999999999</v>
      </c>
      <c r="W54" s="30">
        <f>MAX(MAX('[1]INVILUPPO PIL'!$AW$23:$AW$26),-MIN('[1]INVILUPPO PIL'!$AW$23:$AW$26))</f>
        <v>89.896299999999997</v>
      </c>
      <c r="X54" s="23"/>
      <c r="Y54" s="23"/>
      <c r="Z54" s="11" t="s">
        <v>84</v>
      </c>
      <c r="AA54" s="12">
        <f>R58*(1-((X51+0.48*R57)/(0.48*R57))^2)</f>
        <v>11.779355066009147</v>
      </c>
      <c r="AB54" s="12">
        <v>3</v>
      </c>
      <c r="AC54" s="25" t="s">
        <v>86</v>
      </c>
      <c r="AD54" s="12" t="s">
        <v>87</v>
      </c>
      <c r="AE54" s="26">
        <f>(R51-AA55)*10/((0.7-2*0.04)*391.3)</f>
        <v>8.3693863003124331</v>
      </c>
    </row>
    <row r="55" spans="1:31" x14ac:dyDescent="0.2">
      <c r="F55" s="7"/>
      <c r="G55" s="7" t="s">
        <v>6</v>
      </c>
      <c r="H55" s="7"/>
      <c r="I55" s="7">
        <f>G31</f>
        <v>257.52279926796518</v>
      </c>
      <c r="J55" s="7"/>
      <c r="K55" s="7"/>
      <c r="L55" s="7">
        <f>U31</f>
        <v>131.08215005342134</v>
      </c>
      <c r="M55" s="7"/>
      <c r="Z55" s="27" t="s">
        <v>85</v>
      </c>
      <c r="AA55" s="21">
        <f>R59*(1-((T51+0.48*R57)/(0.48*R57))^2)</f>
        <v>-14.051663648760334</v>
      </c>
      <c r="AB55" s="21"/>
      <c r="AC55" s="28" t="s">
        <v>88</v>
      </c>
      <c r="AD55" s="21" t="s">
        <v>87</v>
      </c>
      <c r="AE55" s="29">
        <f>(W51-AA54)*10/((0.3-2*0.04)*391.3)</f>
        <v>11.225133808752272</v>
      </c>
    </row>
    <row r="56" spans="1:31" x14ac:dyDescent="0.2">
      <c r="F56" s="7">
        <v>1</v>
      </c>
      <c r="G56" s="7" t="s">
        <v>5</v>
      </c>
      <c r="H56" s="7"/>
      <c r="I56" s="7">
        <f>G37</f>
        <v>-290.14477155749103</v>
      </c>
      <c r="J56" s="7">
        <f>ABS(I56)</f>
        <v>290.14477155749103</v>
      </c>
      <c r="K56" s="7"/>
      <c r="L56" s="7">
        <f>U37</f>
        <v>-162.35841510539242</v>
      </c>
      <c r="M56" s="7">
        <f>ABS(L56)</f>
        <v>162.35841510539242</v>
      </c>
      <c r="Q56" s="8" t="s">
        <v>77</v>
      </c>
      <c r="R56" s="23">
        <f>30*70</f>
        <v>2100</v>
      </c>
      <c r="S56" s="8" t="s">
        <v>38</v>
      </c>
      <c r="U56" s="8" t="s">
        <v>83</v>
      </c>
      <c r="V56" s="8">
        <v>14.17</v>
      </c>
      <c r="W56" s="8" t="s">
        <v>37</v>
      </c>
      <c r="Z56" s="11" t="s">
        <v>84</v>
      </c>
      <c r="AA56" s="12">
        <f>R58*(1-((X52+0.48*R57)/(0.48*R57))^2)</f>
        <v>8.1410277203662194</v>
      </c>
      <c r="AB56" s="12">
        <v>2</v>
      </c>
      <c r="AC56" s="25" t="s">
        <v>86</v>
      </c>
      <c r="AD56" s="12" t="s">
        <v>87</v>
      </c>
      <c r="AE56" s="26">
        <f>(R52-AA57)*10/((0.7-2*0.04)*391.3)</f>
        <v>11.946403230697344</v>
      </c>
    </row>
    <row r="57" spans="1:31" x14ac:dyDescent="0.2">
      <c r="F57" s="7"/>
      <c r="G57" s="7" t="s">
        <v>6</v>
      </c>
      <c r="H57" s="7"/>
      <c r="I57" s="7">
        <f>G38</f>
        <v>290.14477155749103</v>
      </c>
      <c r="J57" s="7"/>
      <c r="K57" s="7"/>
      <c r="L57" s="7">
        <f>U38</f>
        <v>131.08671773942359</v>
      </c>
      <c r="M57" s="7"/>
      <c r="Q57" s="8" t="s">
        <v>78</v>
      </c>
      <c r="R57" s="23">
        <f>R56*V56*10^(-1)</f>
        <v>2975.7000000000003</v>
      </c>
      <c r="S57" s="8" t="s">
        <v>81</v>
      </c>
      <c r="Z57" s="27" t="s">
        <v>85</v>
      </c>
      <c r="AA57" s="21">
        <f>R59*(1-((T52+0.48*R57)/(0.48*R57))^2)</f>
        <v>-47.495828672670207</v>
      </c>
      <c r="AB57" s="21"/>
      <c r="AC57" s="28" t="s">
        <v>88</v>
      </c>
      <c r="AD57" s="21" t="s">
        <v>87</v>
      </c>
      <c r="AE57" s="29">
        <f>(W52-AA56)*10/((0.3-2*0.04)*391.3)</f>
        <v>14.062525885710508</v>
      </c>
    </row>
    <row r="58" spans="1:31" x14ac:dyDescent="0.2">
      <c r="Q58" s="8" t="s">
        <v>79</v>
      </c>
      <c r="R58" s="23">
        <f>0.12*R56*30*V56*10^(-3)</f>
        <v>107.12519999999999</v>
      </c>
      <c r="S58" s="8" t="s">
        <v>82</v>
      </c>
      <c r="Z58" s="11" t="s">
        <v>84</v>
      </c>
      <c r="AA58" s="12">
        <f>R58*(1-((X53+0.48*R57)/(0.48*R57))^2)</f>
        <v>3.6350634235426735</v>
      </c>
      <c r="AB58" s="12">
        <v>1</v>
      </c>
      <c r="AC58" s="25" t="s">
        <v>86</v>
      </c>
      <c r="AD58" s="12" t="s">
        <v>87</v>
      </c>
      <c r="AE58" s="26">
        <f>(R54-AA59)*10/((0.7-2*0.04)*391.3)</f>
        <v>15.397908058567737</v>
      </c>
    </row>
    <row r="59" spans="1:31" x14ac:dyDescent="0.2">
      <c r="Q59" s="8" t="s">
        <v>80</v>
      </c>
      <c r="R59" s="23">
        <f>0.12*R56*70*V56*10^(-3)</f>
        <v>249.9588</v>
      </c>
      <c r="S59" s="8" t="s">
        <v>82</v>
      </c>
      <c r="Z59" s="27" t="s">
        <v>85</v>
      </c>
      <c r="AA59" s="21">
        <f>R59*(1-((T53+0.48*R57)/(0.48*R57))^2)</f>
        <v>-86.515588245688448</v>
      </c>
      <c r="AB59" s="21"/>
      <c r="AC59" s="28" t="s">
        <v>88</v>
      </c>
      <c r="AD59" s="21" t="s">
        <v>87</v>
      </c>
      <c r="AE59" s="29">
        <f>(W54-AA58)*10/((0.3-2*0.04)*391.3)</f>
        <v>10.02035599010958</v>
      </c>
    </row>
    <row r="63" spans="1:31" x14ac:dyDescent="0.2">
      <c r="A63" s="7" t="s">
        <v>24</v>
      </c>
      <c r="B63" s="7" t="s">
        <v>25</v>
      </c>
      <c r="C63" s="7" t="s">
        <v>26</v>
      </c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31" x14ac:dyDescent="0.2">
      <c r="A64" s="7" t="s">
        <v>27</v>
      </c>
      <c r="B64" s="7" t="s">
        <v>28</v>
      </c>
      <c r="C64" s="7">
        <v>1</v>
      </c>
      <c r="D64" s="7">
        <v>2</v>
      </c>
      <c r="E64" s="7">
        <v>3</v>
      </c>
      <c r="F64" s="7">
        <v>4</v>
      </c>
      <c r="G64" s="7">
        <v>5</v>
      </c>
      <c r="H64" s="7">
        <v>6</v>
      </c>
      <c r="I64" s="7">
        <v>7</v>
      </c>
      <c r="J64" s="7">
        <v>8</v>
      </c>
      <c r="K64" s="7">
        <v>9</v>
      </c>
      <c r="L64" s="7">
        <v>10</v>
      </c>
      <c r="M64" s="7">
        <v>12</v>
      </c>
    </row>
    <row r="65" spans="1:13" x14ac:dyDescent="0.2">
      <c r="A65" s="7"/>
      <c r="B65" s="7"/>
      <c r="C65" s="7" t="s">
        <v>29</v>
      </c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x14ac:dyDescent="0.2">
      <c r="A66" s="7">
        <v>6</v>
      </c>
      <c r="B66" s="24">
        <v>0.222</v>
      </c>
      <c r="C66" s="24">
        <v>0.28000000000000003</v>
      </c>
      <c r="D66" s="24">
        <v>0.56999999999999995</v>
      </c>
      <c r="E66" s="24">
        <v>0.85</v>
      </c>
      <c r="F66" s="24">
        <v>1.1299999999999999</v>
      </c>
      <c r="G66" s="24">
        <v>1.41</v>
      </c>
      <c r="H66" s="24">
        <v>1.7</v>
      </c>
      <c r="I66" s="24">
        <v>1.98</v>
      </c>
      <c r="J66" s="24">
        <v>2.2599999999999998</v>
      </c>
      <c r="K66" s="24">
        <v>2.54</v>
      </c>
      <c r="L66" s="24">
        <v>2.83</v>
      </c>
      <c r="M66" s="24">
        <v>3.39</v>
      </c>
    </row>
    <row r="67" spans="1:13" x14ac:dyDescent="0.2">
      <c r="A67" s="7">
        <v>8</v>
      </c>
      <c r="B67" s="24">
        <v>0.39500000000000002</v>
      </c>
      <c r="C67" s="24">
        <v>0.5</v>
      </c>
      <c r="D67" s="24">
        <v>1.01</v>
      </c>
      <c r="E67" s="24">
        <v>1.51</v>
      </c>
      <c r="F67" s="24">
        <v>2.0099999999999998</v>
      </c>
      <c r="G67" s="24">
        <v>2.5099999999999998</v>
      </c>
      <c r="H67" s="24">
        <v>3.02</v>
      </c>
      <c r="I67" s="24">
        <v>3.52</v>
      </c>
      <c r="J67" s="24">
        <v>4.0199999999999996</v>
      </c>
      <c r="K67" s="24">
        <v>4.5199999999999996</v>
      </c>
      <c r="L67" s="24">
        <v>5.03</v>
      </c>
      <c r="M67" s="24">
        <v>6.03</v>
      </c>
    </row>
    <row r="68" spans="1:13" x14ac:dyDescent="0.2">
      <c r="A68" s="7">
        <v>10</v>
      </c>
      <c r="B68" s="24">
        <v>0.61699999999999999</v>
      </c>
      <c r="C68" s="24">
        <v>0.79</v>
      </c>
      <c r="D68" s="24">
        <v>1.57</v>
      </c>
      <c r="E68" s="24">
        <v>2.36</v>
      </c>
      <c r="F68" s="24">
        <v>3.14</v>
      </c>
      <c r="G68" s="24">
        <v>3.93</v>
      </c>
      <c r="H68" s="24">
        <v>4.71</v>
      </c>
      <c r="I68" s="24">
        <v>5.5</v>
      </c>
      <c r="J68" s="24">
        <v>6.28</v>
      </c>
      <c r="K68" s="24">
        <v>7.07</v>
      </c>
      <c r="L68" s="24">
        <v>7.85</v>
      </c>
      <c r="M68" s="24">
        <v>9.42</v>
      </c>
    </row>
    <row r="69" spans="1:13" x14ac:dyDescent="0.2">
      <c r="A69" s="7">
        <v>12</v>
      </c>
      <c r="B69" s="24">
        <v>0.88800000000000001</v>
      </c>
      <c r="C69" s="24">
        <v>1.1299999999999999</v>
      </c>
      <c r="D69" s="24">
        <v>2.2599999999999998</v>
      </c>
      <c r="E69" s="24">
        <v>3.39</v>
      </c>
      <c r="F69" s="24">
        <v>4.5199999999999996</v>
      </c>
      <c r="G69" s="24">
        <v>5.65</v>
      </c>
      <c r="H69" s="24">
        <v>6.79</v>
      </c>
      <c r="I69" s="24">
        <v>7.92</v>
      </c>
      <c r="J69" s="24">
        <v>9.0500000000000007</v>
      </c>
      <c r="K69" s="24">
        <v>10.18</v>
      </c>
      <c r="L69" s="24">
        <v>11.31</v>
      </c>
      <c r="M69" s="24">
        <v>13.57</v>
      </c>
    </row>
    <row r="70" spans="1:13" x14ac:dyDescent="0.2">
      <c r="A70" s="7">
        <v>14</v>
      </c>
      <c r="B70" s="24">
        <v>1.208</v>
      </c>
      <c r="C70" s="24">
        <v>1.54</v>
      </c>
      <c r="D70" s="24">
        <v>3.08</v>
      </c>
      <c r="E70" s="24">
        <v>4.62</v>
      </c>
      <c r="F70" s="24">
        <v>6.16</v>
      </c>
      <c r="G70" s="24">
        <v>7.7</v>
      </c>
      <c r="H70" s="24">
        <v>9.24</v>
      </c>
      <c r="I70" s="24">
        <v>10.78</v>
      </c>
      <c r="J70" s="24">
        <v>12.32</v>
      </c>
      <c r="K70" s="24">
        <v>13.85</v>
      </c>
      <c r="L70" s="24">
        <v>15.39</v>
      </c>
      <c r="M70" s="24">
        <v>18.47</v>
      </c>
    </row>
    <row r="71" spans="1:13" x14ac:dyDescent="0.2">
      <c r="A71" s="7">
        <v>16</v>
      </c>
      <c r="B71" s="24">
        <v>1.5780000000000001</v>
      </c>
      <c r="C71" s="24">
        <v>2.0099999999999998</v>
      </c>
      <c r="D71" s="24">
        <v>4.0199999999999996</v>
      </c>
      <c r="E71" s="24">
        <v>6.03</v>
      </c>
      <c r="F71" s="24">
        <v>8.0399999999999991</v>
      </c>
      <c r="G71" s="24">
        <v>10.050000000000001</v>
      </c>
      <c r="H71" s="24">
        <v>12.06</v>
      </c>
      <c r="I71" s="24">
        <v>14.07</v>
      </c>
      <c r="J71" s="24">
        <v>16.079999999999998</v>
      </c>
      <c r="K71" s="24">
        <v>18.100000000000001</v>
      </c>
      <c r="L71" s="24">
        <v>20.11</v>
      </c>
      <c r="M71" s="24">
        <v>24.13</v>
      </c>
    </row>
    <row r="72" spans="1:13" x14ac:dyDescent="0.2">
      <c r="A72" s="7">
        <v>18</v>
      </c>
      <c r="B72" s="24">
        <v>1.998</v>
      </c>
      <c r="C72" s="24">
        <v>2.54</v>
      </c>
      <c r="D72" s="24">
        <v>5.09</v>
      </c>
      <c r="E72" s="24">
        <v>7.63</v>
      </c>
      <c r="F72" s="24">
        <v>10.18</v>
      </c>
      <c r="G72" s="24">
        <v>12.72</v>
      </c>
      <c r="H72" s="24">
        <v>15.27</v>
      </c>
      <c r="I72" s="24">
        <v>17.809999999999999</v>
      </c>
      <c r="J72" s="24">
        <v>20.36</v>
      </c>
      <c r="K72" s="24">
        <v>22.9</v>
      </c>
      <c r="L72" s="24">
        <v>25.45</v>
      </c>
      <c r="M72" s="24">
        <v>30.54</v>
      </c>
    </row>
    <row r="73" spans="1:13" x14ac:dyDescent="0.2">
      <c r="A73" s="7">
        <v>20</v>
      </c>
      <c r="B73" s="24">
        <v>2.4660000000000002</v>
      </c>
      <c r="C73" s="24">
        <v>3.14</v>
      </c>
      <c r="D73" s="24">
        <v>6.28</v>
      </c>
      <c r="E73" s="24">
        <v>9.42</v>
      </c>
      <c r="F73" s="24">
        <v>12.57</v>
      </c>
      <c r="G73" s="24">
        <v>15.71</v>
      </c>
      <c r="H73" s="24">
        <v>18.850000000000001</v>
      </c>
      <c r="I73" s="24">
        <v>21.99</v>
      </c>
      <c r="J73" s="24">
        <v>25.13</v>
      </c>
      <c r="K73" s="24">
        <v>28.27</v>
      </c>
      <c r="L73" s="24">
        <v>31.42</v>
      </c>
      <c r="M73" s="24">
        <v>37.700000000000003</v>
      </c>
    </row>
    <row r="74" spans="1:13" x14ac:dyDescent="0.2">
      <c r="A74" s="7">
        <v>22</v>
      </c>
      <c r="B74" s="24">
        <v>2.984</v>
      </c>
      <c r="C74" s="24">
        <v>3.8</v>
      </c>
      <c r="D74" s="24">
        <v>7.6</v>
      </c>
      <c r="E74" s="24">
        <v>11.4</v>
      </c>
      <c r="F74" s="24">
        <v>15.21</v>
      </c>
      <c r="G74" s="24">
        <v>19.010000000000002</v>
      </c>
      <c r="H74" s="24">
        <v>22.81</v>
      </c>
      <c r="I74" s="24">
        <v>26.61</v>
      </c>
      <c r="J74" s="24">
        <v>30.41</v>
      </c>
      <c r="K74" s="24">
        <v>34.21</v>
      </c>
      <c r="L74" s="24">
        <v>38.01</v>
      </c>
      <c r="M74" s="24">
        <v>45.62</v>
      </c>
    </row>
    <row r="75" spans="1:13" x14ac:dyDescent="0.2">
      <c r="A75" s="7">
        <v>24</v>
      </c>
      <c r="B75" s="24">
        <v>3.5510000000000002</v>
      </c>
      <c r="C75" s="24">
        <v>4.5199999999999996</v>
      </c>
      <c r="D75" s="24">
        <v>9.0500000000000007</v>
      </c>
      <c r="E75" s="24">
        <v>13.57</v>
      </c>
      <c r="F75" s="24">
        <v>18.100000000000001</v>
      </c>
      <c r="G75" s="24">
        <v>22.62</v>
      </c>
      <c r="H75" s="24">
        <v>27.14</v>
      </c>
      <c r="I75" s="24">
        <v>31.67</v>
      </c>
      <c r="J75" s="24">
        <v>36.19</v>
      </c>
      <c r="K75" s="24">
        <v>40.72</v>
      </c>
      <c r="L75" s="24">
        <v>45.24</v>
      </c>
      <c r="M75" s="24">
        <v>54.29</v>
      </c>
    </row>
    <row r="76" spans="1:13" x14ac:dyDescent="0.2">
      <c r="A76" s="7">
        <v>25</v>
      </c>
      <c r="B76" s="24">
        <v>3.8530000000000002</v>
      </c>
      <c r="C76" s="24">
        <v>4.91</v>
      </c>
      <c r="D76" s="24">
        <v>9.82</v>
      </c>
      <c r="E76" s="24">
        <v>14.73</v>
      </c>
      <c r="F76" s="24">
        <v>19.63</v>
      </c>
      <c r="G76" s="24">
        <v>24.54</v>
      </c>
      <c r="H76" s="24">
        <v>29.45</v>
      </c>
      <c r="I76" s="24">
        <v>34.36</v>
      </c>
      <c r="J76" s="24">
        <v>39.270000000000003</v>
      </c>
      <c r="K76" s="24">
        <v>44.18</v>
      </c>
      <c r="L76" s="24">
        <v>49.09</v>
      </c>
      <c r="M76" s="24">
        <v>58.9</v>
      </c>
    </row>
    <row r="77" spans="1:13" x14ac:dyDescent="0.2">
      <c r="A77" s="7">
        <v>26</v>
      </c>
      <c r="B77" s="24">
        <v>4.1680000000000001</v>
      </c>
      <c r="C77" s="24">
        <v>5.31</v>
      </c>
      <c r="D77" s="24">
        <v>10.62</v>
      </c>
      <c r="E77" s="24">
        <v>15.93</v>
      </c>
      <c r="F77" s="24">
        <v>21.24</v>
      </c>
      <c r="G77" s="24">
        <v>26.55</v>
      </c>
      <c r="H77" s="24">
        <v>31.86</v>
      </c>
      <c r="I77" s="24">
        <v>37.17</v>
      </c>
      <c r="J77" s="24">
        <v>42.47</v>
      </c>
      <c r="K77" s="24">
        <v>47.78</v>
      </c>
      <c r="L77" s="24">
        <v>53.09</v>
      </c>
      <c r="M77" s="24">
        <v>63.71</v>
      </c>
    </row>
    <row r="78" spans="1:13" x14ac:dyDescent="0.2">
      <c r="A78" s="7">
        <v>28</v>
      </c>
      <c r="B78" s="24">
        <v>4.8339999999999996</v>
      </c>
      <c r="C78" s="24">
        <v>6.16</v>
      </c>
      <c r="D78" s="24">
        <v>12.32</v>
      </c>
      <c r="E78" s="24">
        <v>18.47</v>
      </c>
      <c r="F78" s="24">
        <v>24.63</v>
      </c>
      <c r="G78" s="24">
        <v>30.79</v>
      </c>
      <c r="H78" s="24">
        <v>36.950000000000003</v>
      </c>
      <c r="I78" s="24">
        <v>43.1</v>
      </c>
      <c r="J78" s="24">
        <v>49.26</v>
      </c>
      <c r="K78" s="24">
        <v>55.42</v>
      </c>
      <c r="L78" s="24">
        <v>61.58</v>
      </c>
      <c r="M78" s="24">
        <v>73.89</v>
      </c>
    </row>
    <row r="79" spans="1:13" x14ac:dyDescent="0.2">
      <c r="A79" s="7">
        <v>30</v>
      </c>
      <c r="B79" s="24">
        <v>5.5490000000000004</v>
      </c>
      <c r="C79" s="24">
        <v>7.07</v>
      </c>
      <c r="D79" s="24">
        <v>14.14</v>
      </c>
      <c r="E79" s="24">
        <v>21.21</v>
      </c>
      <c r="F79" s="24">
        <v>28.27</v>
      </c>
      <c r="G79" s="24">
        <v>35.340000000000003</v>
      </c>
      <c r="H79" s="24">
        <v>42.41</v>
      </c>
      <c r="I79" s="24">
        <v>49.48</v>
      </c>
      <c r="J79" s="24">
        <v>56.55</v>
      </c>
      <c r="K79" s="24">
        <v>63.62</v>
      </c>
      <c r="L79" s="24">
        <v>70.69</v>
      </c>
      <c r="M79" s="24">
        <v>84.82</v>
      </c>
    </row>
    <row r="80" spans="1:13" x14ac:dyDescent="0.2">
      <c r="A80" s="7">
        <v>32</v>
      </c>
      <c r="B80" s="24">
        <v>6.3129999999999997</v>
      </c>
      <c r="C80" s="24">
        <v>8.0399999999999991</v>
      </c>
      <c r="D80" s="24">
        <v>16.079999999999998</v>
      </c>
      <c r="E80" s="24">
        <v>21.13</v>
      </c>
      <c r="F80" s="24">
        <v>32.17</v>
      </c>
      <c r="G80" s="24">
        <v>40.21</v>
      </c>
      <c r="H80" s="24">
        <v>48.25</v>
      </c>
      <c r="I80" s="24">
        <v>56.3</v>
      </c>
      <c r="J80" s="24">
        <v>64.34</v>
      </c>
      <c r="K80" s="24">
        <v>72.38</v>
      </c>
      <c r="L80" s="24">
        <v>80.42</v>
      </c>
      <c r="M80" s="24">
        <v>96.51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7"/>
  <sheetViews>
    <sheetView topLeftCell="V7" zoomScale="80" zoomScaleNormal="80" workbookViewId="0">
      <selection activeCell="AI39" sqref="AI39"/>
    </sheetView>
  </sheetViews>
  <sheetFormatPr defaultRowHeight="12" x14ac:dyDescent="0.2"/>
  <cols>
    <col min="1" max="16384" width="9.140625" style="8"/>
  </cols>
  <sheetData>
    <row r="2" spans="1:46" x14ac:dyDescent="0.2">
      <c r="E2" s="8" t="s">
        <v>90</v>
      </c>
      <c r="N2" s="8" t="s">
        <v>115</v>
      </c>
    </row>
    <row r="3" spans="1:46" x14ac:dyDescent="0.2">
      <c r="C3" s="35" t="s">
        <v>91</v>
      </c>
      <c r="D3" s="35" t="s">
        <v>92</v>
      </c>
      <c r="E3" s="35" t="s">
        <v>93</v>
      </c>
      <c r="F3" s="35" t="s">
        <v>94</v>
      </c>
      <c r="G3" s="35" t="s">
        <v>95</v>
      </c>
      <c r="H3" s="35" t="s">
        <v>96</v>
      </c>
      <c r="M3" s="8" t="s">
        <v>97</v>
      </c>
      <c r="N3" s="8" t="s">
        <v>98</v>
      </c>
      <c r="O3" s="8" t="s">
        <v>99</v>
      </c>
      <c r="P3" s="8" t="s">
        <v>100</v>
      </c>
      <c r="Q3" s="8" t="s">
        <v>58</v>
      </c>
      <c r="R3" s="11"/>
      <c r="S3" s="12" t="s">
        <v>122</v>
      </c>
      <c r="T3" s="12" t="str">
        <f>Q3</f>
        <v>N</v>
      </c>
      <c r="U3" s="12"/>
      <c r="V3" s="12"/>
      <c r="W3" s="12"/>
      <c r="X3" s="12"/>
      <c r="Y3" s="12"/>
      <c r="Z3" s="12"/>
      <c r="AA3" s="12"/>
      <c r="AB3" s="12"/>
      <c r="AC3" s="12"/>
      <c r="AD3" s="12"/>
      <c r="AE3" s="26"/>
    </row>
    <row r="4" spans="1:46" x14ac:dyDescent="0.2">
      <c r="A4" s="8">
        <f>'[3]INVILUPPO PIL'!C3</f>
        <v>6</v>
      </c>
      <c r="B4" s="8" t="str">
        <f>'[3]INVILUPPO PIL'!D3</f>
        <v>Msup</v>
      </c>
      <c r="C4" s="8">
        <f>'[3]INVILUPPO PIL'!E3</f>
        <v>-9.8520000000000003</v>
      </c>
      <c r="D4" s="8">
        <f>'[3]INVILUPPO PIL'!F3</f>
        <v>-6.8010000000000002</v>
      </c>
      <c r="E4" s="8">
        <f>'[3]INVILUPPO PIL'!G3</f>
        <v>45.481999999999999</v>
      </c>
      <c r="F4" s="8">
        <f>'[3]INVILUPPO PIL'!H3</f>
        <v>2.2889999999999997</v>
      </c>
      <c r="G4" s="8">
        <f>'[3]INVILUPPO PIL'!I3</f>
        <v>46.168700000000001</v>
      </c>
      <c r="H4" s="8">
        <f>'[3]INVILUPPO PIL'!J3</f>
        <v>15.933599999999998</v>
      </c>
      <c r="J4" s="8">
        <f>'[3]INVILUPPO PIL'!AE3</f>
        <v>1</v>
      </c>
      <c r="K4" s="8">
        <f>'[3]INVILUPPO PIL'!AF3</f>
        <v>6</v>
      </c>
      <c r="L4" s="8" t="str">
        <f>'[3]INVILUPPO PIL'!AG3</f>
        <v>q+Fx</v>
      </c>
      <c r="M4" s="8">
        <f>'[3]INVILUPPO PIL'!AH3</f>
        <v>39.367699999999999</v>
      </c>
      <c r="N4" s="8">
        <f>'[3]INVILUPPO PIL'!AI3</f>
        <v>-15.113599999999998</v>
      </c>
      <c r="O4" s="8">
        <f>'[3]INVILUPPO PIL'!AJ3</f>
        <v>-15.8772</v>
      </c>
      <c r="P4" s="8">
        <f>'[3]INVILUPPO PIL'!AK3</f>
        <v>16.5764</v>
      </c>
      <c r="Q4" s="32">
        <f>'[3]INVILUPPO PIL'!AL3</f>
        <v>-26.115000000000002</v>
      </c>
      <c r="R4" s="39">
        <v>6</v>
      </c>
      <c r="S4" s="9">
        <f>$G$6</f>
        <v>19.164000000000001</v>
      </c>
      <c r="T4" s="40">
        <f>Q4</f>
        <v>-26.115000000000002</v>
      </c>
      <c r="U4" s="9"/>
      <c r="V4" s="9"/>
      <c r="W4" s="9"/>
      <c r="X4" s="9"/>
      <c r="Y4" s="9"/>
      <c r="Z4" s="9"/>
      <c r="AA4" s="9"/>
      <c r="AB4" s="9"/>
      <c r="AC4" s="9"/>
      <c r="AD4" s="9"/>
      <c r="AE4" s="41"/>
    </row>
    <row r="5" spans="1:46" x14ac:dyDescent="0.2">
      <c r="B5" s="8" t="str">
        <f>'[3]INVILUPPO PIL'!D4</f>
        <v>Minf</v>
      </c>
      <c r="C5" s="8">
        <f>'[3]INVILUPPO PIL'!E4</f>
        <v>8.5519999999999996</v>
      </c>
      <c r="D5" s="8">
        <f>'[3]INVILUPPO PIL'!F4</f>
        <v>5.923</v>
      </c>
      <c r="E5" s="8">
        <f>'[3]INVILUPPO PIL'!G4</f>
        <v>-21.67</v>
      </c>
      <c r="F5" s="8">
        <f>'[3]INVILUPPO PIL'!H4</f>
        <v>-0.434</v>
      </c>
      <c r="G5" s="8">
        <f>'[3]INVILUPPO PIL'!I4</f>
        <v>-21.8002</v>
      </c>
      <c r="H5" s="8">
        <f>'[3]INVILUPPO PIL'!J4</f>
        <v>-6.9350000000000005</v>
      </c>
      <c r="L5" s="8" t="str">
        <f>'[3]INVILUPPO PIL'!AG4</f>
        <v>q-Fx</v>
      </c>
      <c r="M5" s="8">
        <f>'[3]INVILUPPO PIL'!AH4</f>
        <v>-52.969700000000003</v>
      </c>
      <c r="N5" s="8">
        <f>'[3]INVILUPPO PIL'!AI4</f>
        <v>-51.2044</v>
      </c>
      <c r="O5" s="8">
        <f>'[3]INVILUPPO PIL'!AJ4</f>
        <v>27.723199999999999</v>
      </c>
      <c r="P5" s="8">
        <f>'[3]INVILUPPO PIL'!AK4</f>
        <v>42.787599999999998</v>
      </c>
      <c r="Q5" s="32">
        <f>'[3]INVILUPPO PIL'!AL4</f>
        <v>-94.450999999999993</v>
      </c>
      <c r="R5" s="39"/>
      <c r="S5" s="9"/>
      <c r="T5" s="40">
        <f>Q5</f>
        <v>-94.450999999999993</v>
      </c>
      <c r="U5" s="9"/>
      <c r="V5" s="9"/>
      <c r="W5" s="9"/>
      <c r="X5" s="9"/>
      <c r="Y5" s="9"/>
      <c r="Z5" s="9"/>
      <c r="AA5" s="9"/>
      <c r="AB5" s="9"/>
      <c r="AC5" s="9"/>
      <c r="AD5" s="9"/>
      <c r="AE5" s="41"/>
    </row>
    <row r="6" spans="1:46" x14ac:dyDescent="0.2">
      <c r="B6" s="8" t="str">
        <f>'[3]INVILUPPO PIL'!D5</f>
        <v>V</v>
      </c>
      <c r="C6" s="8">
        <f>'[3]INVILUPPO PIL'!E5</f>
        <v>-5.7510000000000003</v>
      </c>
      <c r="D6" s="8">
        <f>'[3]INVILUPPO PIL'!F5</f>
        <v>-3.976</v>
      </c>
      <c r="E6" s="8">
        <f>'[3]INVILUPPO PIL'!G5</f>
        <v>18.942</v>
      </c>
      <c r="F6" s="8">
        <f>'[3]INVILUPPO PIL'!H5</f>
        <v>0.74</v>
      </c>
      <c r="G6" s="32">
        <f>'[3]INVILUPPO PIL'!I5</f>
        <v>19.164000000000001</v>
      </c>
      <c r="H6" s="8">
        <f>'[3]INVILUPPO PIL'!J5</f>
        <v>6.4226000000000001</v>
      </c>
      <c r="L6" s="8" t="str">
        <f>'[3]INVILUPPO PIL'!AG5</f>
        <v>q+Fy</v>
      </c>
      <c r="M6" s="8">
        <f>'[3]INVILUPPO PIL'!AH5</f>
        <v>9.1325999999999983</v>
      </c>
      <c r="N6" s="8">
        <f>'[3]INVILUPPO PIL'!AI5</f>
        <v>2.7104999999999961</v>
      </c>
      <c r="O6" s="8">
        <f>'[3]INVILUPPO PIL'!AJ5</f>
        <v>-1.0120000000000005</v>
      </c>
      <c r="P6" s="8">
        <f>'[3]INVILUPPO PIL'!AK5</f>
        <v>3.8538999999999994</v>
      </c>
      <c r="Q6" s="8">
        <f>'[3]INVILUPPO PIL'!AL5</f>
        <v>-36.328000000000003</v>
      </c>
      <c r="R6" s="39"/>
      <c r="S6" s="9"/>
      <c r="T6" s="40"/>
      <c r="U6" s="9"/>
      <c r="V6" s="9" t="s">
        <v>108</v>
      </c>
      <c r="W6" s="9"/>
      <c r="X6" s="9"/>
      <c r="Y6" s="9"/>
      <c r="Z6" s="9"/>
      <c r="AA6" s="9"/>
      <c r="AB6" s="9"/>
      <c r="AC6" s="9"/>
      <c r="AD6" s="9"/>
      <c r="AE6" s="41"/>
      <c r="AS6" s="37"/>
      <c r="AT6" s="37" t="s">
        <v>111</v>
      </c>
    </row>
    <row r="7" spans="1:46" x14ac:dyDescent="0.2">
      <c r="B7" s="8" t="str">
        <f>'[3]INVILUPPO PIL'!D6</f>
        <v>N</v>
      </c>
      <c r="C7" s="8">
        <f>'[3]INVILUPPO PIL'!E6</f>
        <v>-17.436</v>
      </c>
      <c r="D7" s="8">
        <f>'[3]INVILUPPO PIL'!F6</f>
        <v>-12.269</v>
      </c>
      <c r="E7" s="8">
        <f>'[3]INVILUPPO PIL'!G6</f>
        <v>26.366</v>
      </c>
      <c r="F7" s="8">
        <f>'[3]INVILUPPO PIL'!H6</f>
        <v>1.327</v>
      </c>
      <c r="G7" s="8">
        <f>'[3]INVILUPPO PIL'!I6</f>
        <v>26.764099999999999</v>
      </c>
      <c r="H7" s="8">
        <f>'[3]INVILUPPO PIL'!J6</f>
        <v>9.2367999999999988</v>
      </c>
      <c r="L7" s="8" t="str">
        <f>'[3]INVILUPPO PIL'!AG6</f>
        <v>q-Fy</v>
      </c>
      <c r="M7" s="8">
        <f>'[3]INVILUPPO PIL'!AH6</f>
        <v>-22.7346</v>
      </c>
      <c r="N7" s="8">
        <f>'[3]INVILUPPO PIL'!AI6</f>
        <v>-69.028499999999994</v>
      </c>
      <c r="O7" s="8">
        <f>'[3]INVILUPPO PIL'!AJ6</f>
        <v>12.858000000000001</v>
      </c>
      <c r="P7" s="8">
        <f>'[3]INVILUPPO PIL'!AK6</f>
        <v>55.510099999999994</v>
      </c>
      <c r="Q7" s="8">
        <f>'[3]INVILUPPO PIL'!AL6</f>
        <v>-84.238</v>
      </c>
      <c r="R7" s="39"/>
      <c r="S7" s="9"/>
      <c r="T7" s="40"/>
      <c r="U7" s="9"/>
      <c r="V7" s="9"/>
      <c r="W7" s="42" t="s">
        <v>101</v>
      </c>
      <c r="X7" s="42" t="s">
        <v>102</v>
      </c>
      <c r="Y7" s="42" t="s">
        <v>103</v>
      </c>
      <c r="Z7" s="42" t="s">
        <v>104</v>
      </c>
      <c r="AA7" s="42" t="s">
        <v>105</v>
      </c>
      <c r="AB7" s="42" t="s">
        <v>106</v>
      </c>
      <c r="AC7" s="42" t="s">
        <v>107</v>
      </c>
      <c r="AD7" s="42" t="s">
        <v>104</v>
      </c>
      <c r="AE7" s="44" t="s">
        <v>105</v>
      </c>
      <c r="AF7" s="12"/>
      <c r="AG7" s="12"/>
      <c r="AH7" s="38" t="s">
        <v>109</v>
      </c>
      <c r="AI7" s="12"/>
      <c r="AJ7" s="26"/>
      <c r="AK7" s="11"/>
      <c r="AL7" s="12"/>
      <c r="AM7" s="38" t="s">
        <v>110</v>
      </c>
      <c r="AN7" s="38"/>
      <c r="AO7" s="26"/>
      <c r="AP7" s="37" t="s">
        <v>112</v>
      </c>
      <c r="AQ7" s="37" t="s">
        <v>113</v>
      </c>
      <c r="AS7" s="37"/>
      <c r="AT7" s="37" t="s">
        <v>114</v>
      </c>
    </row>
    <row r="8" spans="1:46" x14ac:dyDescent="0.2">
      <c r="A8" s="8">
        <f>'[3]INVILUPPO PIL'!C7</f>
        <v>5</v>
      </c>
      <c r="B8" s="8" t="str">
        <f>'[3]INVILUPPO PIL'!D7</f>
        <v>Msup</v>
      </c>
      <c r="C8" s="8">
        <f>'[3]INVILUPPO PIL'!E7</f>
        <v>-7.8490000000000002</v>
      </c>
      <c r="D8" s="8">
        <f>'[3]INVILUPPO PIL'!F7</f>
        <v>-5.4320000000000004</v>
      </c>
      <c r="E8" s="8">
        <f>'[3]INVILUPPO PIL'!G7</f>
        <v>76.599999999999994</v>
      </c>
      <c r="F8" s="8">
        <f>'[3]INVILUPPO PIL'!H7</f>
        <v>4.673</v>
      </c>
      <c r="G8" s="8">
        <f>'[3]INVILUPPO PIL'!I7</f>
        <v>78.001899999999992</v>
      </c>
      <c r="H8" s="8">
        <f>'[3]INVILUPPO PIL'!J7</f>
        <v>27.652999999999999</v>
      </c>
      <c r="K8" s="8">
        <f>'[3]INVILUPPO PIL'!AF7</f>
        <v>5</v>
      </c>
      <c r="L8" s="8" t="str">
        <f>'[3]INVILUPPO PIL'!AG7</f>
        <v>q+Fx</v>
      </c>
      <c r="M8" s="8">
        <f>'[3]INVILUPPO PIL'!AH7</f>
        <v>72.56989999999999</v>
      </c>
      <c r="N8" s="8">
        <f>'[3]INVILUPPO PIL'!AI7</f>
        <v>-4.3199000000000041</v>
      </c>
      <c r="O8" s="8">
        <f>'[3]INVILUPPO PIL'!AJ7</f>
        <v>-61.384100000000004</v>
      </c>
      <c r="P8" s="8">
        <f>'[3]INVILUPPO PIL'!AK7</f>
        <v>2.8734999999999999</v>
      </c>
      <c r="Q8" s="32">
        <f>'[3]INVILUPPO PIL'!AL7</f>
        <v>-51.174900000000008</v>
      </c>
      <c r="R8" s="39">
        <v>5</v>
      </c>
      <c r="S8" s="9">
        <f>$G$10</f>
        <v>44.755400000000002</v>
      </c>
      <c r="T8" s="40">
        <f>Q8</f>
        <v>-51.174900000000008</v>
      </c>
      <c r="U8" s="42" t="s">
        <v>2</v>
      </c>
      <c r="V8" s="45" t="s">
        <v>22</v>
      </c>
      <c r="W8" s="9">
        <v>6.28</v>
      </c>
      <c r="X8" s="40">
        <f>(1.2*W8*391.3/10)-$G$6</f>
        <v>275.71968000000004</v>
      </c>
      <c r="Y8" s="9">
        <f>0.48*(1-(25/250))</f>
        <v>0.432</v>
      </c>
      <c r="Z8" s="9">
        <v>0.3</v>
      </c>
      <c r="AA8" s="9">
        <f>0.7-(2*0.04)</f>
        <v>0.62</v>
      </c>
      <c r="AB8" s="40">
        <f>-Q4/($Z$8*$AA$8)</f>
        <v>140.40322580645162</v>
      </c>
      <c r="AC8" s="46">
        <f>AB8/14.17/1000</f>
        <v>9.9084845311539597E-3</v>
      </c>
      <c r="AD8" s="9">
        <f>Z8*100</f>
        <v>30</v>
      </c>
      <c r="AE8" s="41">
        <f>AA8*100</f>
        <v>62</v>
      </c>
      <c r="AF8" s="9"/>
      <c r="AG8" s="9"/>
      <c r="AH8" s="40">
        <f>$Y$8*14.17*$AD$8*($AE$8/10)*((1-(AC8/$Y$8))^(1/2))</f>
        <v>1125.454596131832</v>
      </c>
      <c r="AI8" s="9"/>
      <c r="AJ8" s="41"/>
      <c r="AK8" s="39"/>
      <c r="AL8" s="40">
        <f>1.2*$AD$8*($AE$8/10)*(1+(ABS(Q4)/(1.2*$AD$8*($AE$8/10))))^(1/2)</f>
        <v>235.89639251162788</v>
      </c>
      <c r="AM8" s="9"/>
      <c r="AN8" s="9"/>
      <c r="AO8" s="41"/>
      <c r="AP8" s="8">
        <f>0.6-(2*0.04)</f>
        <v>0.52</v>
      </c>
      <c r="AQ8" s="36">
        <f>X8/($AD$8*$AE$8)*10</f>
        <v>1.4823638709677422</v>
      </c>
      <c r="AT8" s="23">
        <f>(((AQ9^2)/(1.2+(AC8*14.17))-1.2))*(($AD$8*($AP$8*100)/391.3))</f>
        <v>-1.4213682795587459</v>
      </c>
    </row>
    <row r="9" spans="1:46" x14ac:dyDescent="0.2">
      <c r="B9" s="8" t="str">
        <f>'[3]INVILUPPO PIL'!D8</f>
        <v>Minf</v>
      </c>
      <c r="C9" s="8">
        <f>'[3]INVILUPPO PIL'!E8</f>
        <v>8.5730000000000004</v>
      </c>
      <c r="D9" s="8">
        <f>'[3]INVILUPPO PIL'!F8</f>
        <v>5.9020000000000001</v>
      </c>
      <c r="E9" s="8">
        <f>'[3]INVILUPPO PIL'!G8</f>
        <v>-66.210000000000008</v>
      </c>
      <c r="F9" s="8">
        <f>'[3]INVILUPPO PIL'!H8</f>
        <v>-3.5870000000000002</v>
      </c>
      <c r="G9" s="8">
        <f>'[3]INVILUPPO PIL'!I8</f>
        <v>-67.286100000000005</v>
      </c>
      <c r="H9" s="8">
        <f>'[3]INVILUPPO PIL'!J8</f>
        <v>-23.450000000000003</v>
      </c>
      <c r="L9" s="8" t="str">
        <f>'[3]INVILUPPO PIL'!AG8</f>
        <v>q-Fx</v>
      </c>
      <c r="M9" s="8">
        <f>'[3]INVILUPPO PIL'!AH8</f>
        <v>-83.433899999999994</v>
      </c>
      <c r="N9" s="8">
        <f>'[3]INVILUPPO PIL'!AI8</f>
        <v>-47.270099999999999</v>
      </c>
      <c r="O9" s="8">
        <f>'[3]INVILUPPO PIL'!AJ8</f>
        <v>73.188100000000006</v>
      </c>
      <c r="P9" s="8">
        <f>'[3]INVILUPPO PIL'!AK8</f>
        <v>49.186500000000002</v>
      </c>
      <c r="Q9" s="32">
        <f>'[3]INVILUPPO PIL'!AL8</f>
        <v>-241.97310000000002</v>
      </c>
      <c r="R9" s="39"/>
      <c r="S9" s="9"/>
      <c r="T9" s="40">
        <f>Q9</f>
        <v>-241.97310000000002</v>
      </c>
      <c r="U9" s="42" t="s">
        <v>3</v>
      </c>
      <c r="V9" s="45" t="s">
        <v>23</v>
      </c>
      <c r="W9" s="9">
        <v>4.62</v>
      </c>
      <c r="X9" s="40">
        <f>(1.2*W9*391.3/10)-$G$6</f>
        <v>197.77271999999999</v>
      </c>
      <c r="Y9" s="9"/>
      <c r="Z9" s="9"/>
      <c r="AA9" s="9"/>
      <c r="AB9" s="40">
        <f>-Q5/($Z$8*$AA$8)</f>
        <v>507.80107526881716</v>
      </c>
      <c r="AC9" s="46">
        <f>AB9/14.17/1000</f>
        <v>3.5836349701398533E-2</v>
      </c>
      <c r="AD9" s="9"/>
      <c r="AE9" s="41"/>
      <c r="AF9" s="9"/>
      <c r="AG9" s="9"/>
      <c r="AH9" s="9"/>
      <c r="AI9" s="9"/>
      <c r="AJ9" s="41"/>
      <c r="AK9" s="39"/>
      <c r="AL9" s="9"/>
      <c r="AM9" s="9"/>
      <c r="AN9" s="9"/>
      <c r="AO9" s="41"/>
      <c r="AQ9" s="36">
        <f>X9/($AD$8*$AE$8)*10</f>
        <v>1.0632941935483871</v>
      </c>
      <c r="AT9" s="23"/>
    </row>
    <row r="10" spans="1:46" x14ac:dyDescent="0.2">
      <c r="B10" s="8" t="str">
        <f>'[3]INVILUPPO PIL'!D9</f>
        <v>V</v>
      </c>
      <c r="C10" s="8">
        <f>'[3]INVILUPPO PIL'!E9</f>
        <v>-5.1319999999999997</v>
      </c>
      <c r="D10" s="8">
        <f>'[3]INVILUPPO PIL'!F9</f>
        <v>-3.5419999999999998</v>
      </c>
      <c r="E10" s="8">
        <f>'[3]INVILUPPO PIL'!G9</f>
        <v>43.981999999999999</v>
      </c>
      <c r="F10" s="8">
        <f>'[3]INVILUPPO PIL'!H9</f>
        <v>2.5780000000000003</v>
      </c>
      <c r="G10" s="32">
        <f>'[3]INVILUPPO PIL'!I9</f>
        <v>44.755400000000002</v>
      </c>
      <c r="H10" s="8">
        <f>'[3]INVILUPPO PIL'!J9</f>
        <v>15.772600000000001</v>
      </c>
      <c r="L10" s="8" t="str">
        <f>'[3]INVILUPPO PIL'!AG9</f>
        <v>q+Fy</v>
      </c>
      <c r="M10" s="8">
        <f>'[3]INVILUPPO PIL'!AH9</f>
        <v>22.220999999999997</v>
      </c>
      <c r="N10" s="8">
        <f>'[3]INVILUPPO PIL'!AI9</f>
        <v>18.164100000000005</v>
      </c>
      <c r="O10" s="8">
        <f>'[3]INVILUPPO PIL'!AJ9</f>
        <v>-17.548000000000002</v>
      </c>
      <c r="P10" s="8">
        <f>'[3]INVILUPPO PIL'!AK9</f>
        <v>-21.116199999999999</v>
      </c>
      <c r="Q10" s="8">
        <f>'[3]INVILUPPO PIL'!AL9</f>
        <v>-79.181900000000013</v>
      </c>
      <c r="R10" s="39"/>
      <c r="S10" s="9"/>
      <c r="T10" s="40"/>
      <c r="U10" s="42"/>
      <c r="V10" s="47"/>
      <c r="W10" s="9"/>
      <c r="X10" s="40"/>
      <c r="Y10" s="9"/>
      <c r="Z10" s="9"/>
      <c r="AA10" s="9"/>
      <c r="AB10" s="40"/>
      <c r="AC10" s="46"/>
      <c r="AD10" s="9"/>
      <c r="AE10" s="41"/>
      <c r="AF10" s="9"/>
      <c r="AG10" s="9"/>
      <c r="AH10" s="9"/>
      <c r="AI10" s="9"/>
      <c r="AJ10" s="41"/>
      <c r="AK10" s="39"/>
      <c r="AL10" s="9"/>
      <c r="AM10" s="9"/>
      <c r="AN10" s="9"/>
      <c r="AO10" s="41"/>
      <c r="AQ10" s="36"/>
      <c r="AT10" s="23"/>
    </row>
    <row r="11" spans="1:46" x14ac:dyDescent="0.2">
      <c r="B11" s="8" t="str">
        <f>'[3]INVILUPPO PIL'!D10</f>
        <v>N</v>
      </c>
      <c r="C11" s="8">
        <f>'[3]INVILUPPO PIL'!E10</f>
        <v>-45.219000000000001</v>
      </c>
      <c r="D11" s="8">
        <f>'[3]INVILUPPO PIL'!F10</f>
        <v>-31.788</v>
      </c>
      <c r="E11" s="8">
        <f>'[3]INVILUPPO PIL'!G10</f>
        <v>73.60199999999999</v>
      </c>
      <c r="F11" s="8">
        <f>'[3]INVILUPPO PIL'!H10</f>
        <v>4.0129999999999999</v>
      </c>
      <c r="G11" s="8">
        <f>'[3]INVILUPPO PIL'!I10</f>
        <v>74.805899999999994</v>
      </c>
      <c r="H11" s="8">
        <f>'[3]INVILUPPO PIL'!J10</f>
        <v>26.093599999999995</v>
      </c>
      <c r="L11" s="8" t="str">
        <f>'[3]INVILUPPO PIL'!AG10</f>
        <v>q-Fy</v>
      </c>
      <c r="M11" s="8">
        <f>'[3]INVILUPPO PIL'!AH10</f>
        <v>-33.085000000000001</v>
      </c>
      <c r="N11" s="8">
        <f>'[3]INVILUPPO PIL'!AI10</f>
        <v>-69.754100000000008</v>
      </c>
      <c r="O11" s="8">
        <f>'[3]INVILUPPO PIL'!AJ10</f>
        <v>29.352000000000004</v>
      </c>
      <c r="P11" s="8">
        <f>'[3]INVILUPPO PIL'!AK10</f>
        <v>73.176199999999994</v>
      </c>
      <c r="Q11" s="8">
        <f>'[3]INVILUPPO PIL'!AL10</f>
        <v>-213.96610000000001</v>
      </c>
      <c r="R11" s="39"/>
      <c r="S11" s="9"/>
      <c r="T11" s="40"/>
      <c r="U11" s="42"/>
      <c r="V11" s="47"/>
      <c r="W11" s="9"/>
      <c r="X11" s="40"/>
      <c r="Y11" s="9"/>
      <c r="Z11" s="9"/>
      <c r="AA11" s="9"/>
      <c r="AB11" s="40"/>
      <c r="AC11" s="46"/>
      <c r="AD11" s="9"/>
      <c r="AE11" s="41"/>
      <c r="AF11" s="9"/>
      <c r="AG11" s="9"/>
      <c r="AH11" s="42" t="s">
        <v>109</v>
      </c>
      <c r="AI11" s="9"/>
      <c r="AJ11" s="41"/>
      <c r="AK11" s="39"/>
      <c r="AL11" s="9"/>
      <c r="AM11" s="42" t="s">
        <v>110</v>
      </c>
      <c r="AN11" s="9"/>
      <c r="AO11" s="41"/>
      <c r="AQ11" s="36"/>
      <c r="AT11" s="23"/>
    </row>
    <row r="12" spans="1:46" x14ac:dyDescent="0.2">
      <c r="A12" s="8">
        <f>'[3]INVILUPPO PIL'!C11</f>
        <v>4</v>
      </c>
      <c r="B12" s="8" t="str">
        <f>'[3]INVILUPPO PIL'!D11</f>
        <v>Msup</v>
      </c>
      <c r="C12" s="8">
        <f>'[3]INVILUPPO PIL'!E11</f>
        <v>-8.7509999999999994</v>
      </c>
      <c r="D12" s="8">
        <f>'[3]INVILUPPO PIL'!F11</f>
        <v>-6.0570000000000004</v>
      </c>
      <c r="E12" s="8">
        <f>'[3]INVILUPPO PIL'!G11</f>
        <v>109.227</v>
      </c>
      <c r="F12" s="8">
        <f>'[3]INVILUPPO PIL'!H11</f>
        <v>6.6840000000000002</v>
      </c>
      <c r="G12" s="8">
        <f>'[3]INVILUPPO PIL'!I11</f>
        <v>111.23220000000001</v>
      </c>
      <c r="H12" s="8">
        <f>'[3]INVILUPPO PIL'!J11</f>
        <v>39.452099999999994</v>
      </c>
      <c r="K12" s="8">
        <f>'[3]INVILUPPO PIL'!AF11</f>
        <v>4</v>
      </c>
      <c r="L12" s="8" t="str">
        <f>'[3]INVILUPPO PIL'!AG11</f>
        <v>q+Fx</v>
      </c>
      <c r="M12" s="8">
        <f>'[3]INVILUPPO PIL'!AH11</f>
        <v>105.1752</v>
      </c>
      <c r="N12" s="8">
        <f>'[3]INVILUPPO PIL'!AI11</f>
        <v>5.7166999999999994</v>
      </c>
      <c r="O12" s="8">
        <f>'[3]INVILUPPO PIL'!AJ11</f>
        <v>-85.284599999999998</v>
      </c>
      <c r="P12" s="8">
        <f>'[3]INVILUPPO PIL'!AK11</f>
        <v>-4.2957000000000001</v>
      </c>
      <c r="Q12" s="32">
        <f>'[3]INVILUPPO PIL'!AL11</f>
        <v>-21.796400000000006</v>
      </c>
      <c r="R12" s="39">
        <v>4</v>
      </c>
      <c r="S12" s="9">
        <f>$G$14</f>
        <v>62.857900000000001</v>
      </c>
      <c r="T12" s="40">
        <f>Q12</f>
        <v>-21.796400000000006</v>
      </c>
      <c r="U12" s="42" t="s">
        <v>2</v>
      </c>
      <c r="V12" s="45" t="s">
        <v>20</v>
      </c>
      <c r="W12" s="9">
        <v>9.36</v>
      </c>
      <c r="X12" s="40">
        <f>(1.2*W12*391.3/10)-G10</f>
        <v>394.75275999999997</v>
      </c>
      <c r="Y12" s="9"/>
      <c r="Z12" s="9"/>
      <c r="AA12" s="9"/>
      <c r="AB12" s="40">
        <f>-Q8/($Z$8*$AA$8)</f>
        <v>275.13387096774198</v>
      </c>
      <c r="AC12" s="46">
        <f>AB12/14.17/1000</f>
        <v>1.9416645798711503E-2</v>
      </c>
      <c r="AD12" s="9"/>
      <c r="AE12" s="41"/>
      <c r="AF12" s="9"/>
      <c r="AG12" s="9"/>
      <c r="AH12" s="40">
        <f>$Y$8*14.17*$AD$8*($AE$8/10)*((1-(AC12/$Y$8))^(1/2))</f>
        <v>1112.7062283202379</v>
      </c>
      <c r="AI12" s="9"/>
      <c r="AJ12" s="41"/>
      <c r="AK12" s="39"/>
      <c r="AL12" s="40">
        <f>1.2*$AD$8*($AE$8/10)*(1+(ABS(Q8)/(1.2*$AD$8*($AE$8/10))))^(1/2)</f>
        <v>247.46813467596186</v>
      </c>
      <c r="AM12" s="9"/>
      <c r="AN12" s="9"/>
      <c r="AO12" s="41"/>
      <c r="AQ12" s="36">
        <f>X12/($AD$8*$AE$8)*10</f>
        <v>2.1223266666666665</v>
      </c>
      <c r="AT12" s="23">
        <f>(((AQ13^2)/(1.2+(AC12*14.17))-1.2))*(($AD$8*($AP$8*100)/391.3))</f>
        <v>3.3378284171830885</v>
      </c>
    </row>
    <row r="13" spans="1:46" x14ac:dyDescent="0.2">
      <c r="B13" s="8" t="str">
        <f>'[3]INVILUPPO PIL'!D12</f>
        <v>Minf</v>
      </c>
      <c r="C13" s="8">
        <f>'[3]INVILUPPO PIL'!E12</f>
        <v>9.0440000000000005</v>
      </c>
      <c r="D13" s="8">
        <f>'[3]INVILUPPO PIL'!F12</f>
        <v>6.22</v>
      </c>
      <c r="E13" s="8">
        <f>'[3]INVILUPPO PIL'!G12</f>
        <v>-89.905000000000001</v>
      </c>
      <c r="F13" s="8">
        <f>'[3]INVILUPPO PIL'!H12</f>
        <v>-5.3319999999999999</v>
      </c>
      <c r="G13" s="8">
        <f>'[3]INVILUPPO PIL'!I12</f>
        <v>-91.504599999999996</v>
      </c>
      <c r="H13" s="8">
        <f>'[3]INVILUPPO PIL'!J12</f>
        <v>-32.3035</v>
      </c>
      <c r="L13" s="8" t="str">
        <f>'[3]INVILUPPO PIL'!AG12</f>
        <v>q-Fx</v>
      </c>
      <c r="M13" s="8">
        <f>'[3]INVILUPPO PIL'!AH12</f>
        <v>-117.28920000000001</v>
      </c>
      <c r="N13" s="8">
        <f>'[3]INVILUPPO PIL'!AI12</f>
        <v>-57.134699999999995</v>
      </c>
      <c r="O13" s="8">
        <f>'[3]INVILUPPO PIL'!AJ12</f>
        <v>97.724599999999995</v>
      </c>
      <c r="P13" s="8">
        <f>'[3]INVILUPPO PIL'!AK12</f>
        <v>55.527699999999996</v>
      </c>
      <c r="Q13" s="32">
        <f>'[3]INVILUPPO PIL'!AL12</f>
        <v>-450.14760000000001</v>
      </c>
      <c r="R13" s="39"/>
      <c r="S13" s="9"/>
      <c r="T13" s="40">
        <f>Q13</f>
        <v>-450.14760000000001</v>
      </c>
      <c r="U13" s="42" t="s">
        <v>3</v>
      </c>
      <c r="V13" s="45" t="s">
        <v>21</v>
      </c>
      <c r="W13" s="9">
        <v>7.82</v>
      </c>
      <c r="X13" s="40">
        <f>(1.2*W13*391.3/10)-G10</f>
        <v>322.44051999999999</v>
      </c>
      <c r="Y13" s="9"/>
      <c r="Z13" s="9"/>
      <c r="AA13" s="9"/>
      <c r="AB13" s="40">
        <f>-Q9/($Z$8*$AA$8)</f>
        <v>1300.9306451612904</v>
      </c>
      <c r="AC13" s="46">
        <f>AB13/14.17/1000</f>
        <v>9.1808796412229388E-2</v>
      </c>
      <c r="AD13" s="9"/>
      <c r="AE13" s="41"/>
      <c r="AF13" s="9"/>
      <c r="AG13" s="9"/>
      <c r="AH13" s="9"/>
      <c r="AI13" s="9"/>
      <c r="AJ13" s="41"/>
      <c r="AK13" s="39"/>
      <c r="AL13" s="9"/>
      <c r="AM13" s="9"/>
      <c r="AN13" s="9"/>
      <c r="AO13" s="41"/>
      <c r="AQ13" s="36">
        <f>X13/($AD$8*$AE$8)*10</f>
        <v>1.7335511827956989</v>
      </c>
      <c r="AT13" s="23"/>
    </row>
    <row r="14" spans="1:46" x14ac:dyDescent="0.2">
      <c r="B14" s="8" t="str">
        <f>'[3]INVILUPPO PIL'!D13</f>
        <v>V</v>
      </c>
      <c r="C14" s="8">
        <f>'[3]INVILUPPO PIL'!E13</f>
        <v>-5.5609999999999999</v>
      </c>
      <c r="D14" s="8">
        <f>'[3]INVILUPPO PIL'!F13</f>
        <v>-3.8359999999999999</v>
      </c>
      <c r="E14" s="8">
        <f>'[3]INVILUPPO PIL'!G13</f>
        <v>61.731999999999999</v>
      </c>
      <c r="F14" s="8">
        <f>'[3]INVILUPPO PIL'!H13</f>
        <v>3.7530000000000001</v>
      </c>
      <c r="G14" s="32">
        <f>'[3]INVILUPPO PIL'!I13</f>
        <v>62.857900000000001</v>
      </c>
      <c r="H14" s="8">
        <f>'[3]INVILUPPO PIL'!J13</f>
        <v>22.272600000000001</v>
      </c>
      <c r="L14" s="8" t="str">
        <f>'[3]INVILUPPO PIL'!AG13</f>
        <v>q+Fy</v>
      </c>
      <c r="M14" s="8">
        <f>'[3]INVILUPPO PIL'!AH13</f>
        <v>33.395099999999992</v>
      </c>
      <c r="N14" s="8">
        <f>'[3]INVILUPPO PIL'!AI13</f>
        <v>38.772799999999989</v>
      </c>
      <c r="O14" s="8">
        <f>'[3]INVILUPPO PIL'!AJ13</f>
        <v>-26.083500000000001</v>
      </c>
      <c r="P14" s="8">
        <f>'[3]INVILUPPO PIL'!AK13</f>
        <v>-35.590600000000002</v>
      </c>
      <c r="Q14" s="8">
        <f>'[3]INVILUPPO PIL'!AL13</f>
        <v>-89.69919999999999</v>
      </c>
      <c r="R14" s="39"/>
      <c r="S14" s="9"/>
      <c r="T14" s="40"/>
      <c r="U14" s="42"/>
      <c r="V14" s="47"/>
      <c r="W14" s="9"/>
      <c r="X14" s="40"/>
      <c r="Y14" s="9"/>
      <c r="Z14" s="9"/>
      <c r="AA14" s="9"/>
      <c r="AB14" s="40"/>
      <c r="AC14" s="46"/>
      <c r="AD14" s="9"/>
      <c r="AE14" s="41"/>
      <c r="AF14" s="9"/>
      <c r="AG14" s="9"/>
      <c r="AH14" s="9"/>
      <c r="AI14" s="9"/>
      <c r="AJ14" s="41"/>
      <c r="AK14" s="39"/>
      <c r="AL14" s="9"/>
      <c r="AM14" s="9"/>
      <c r="AN14" s="9"/>
      <c r="AO14" s="41"/>
      <c r="AQ14" s="36"/>
      <c r="AT14" s="23"/>
    </row>
    <row r="15" spans="1:46" x14ac:dyDescent="0.2">
      <c r="B15" s="8" t="str">
        <f>'[3]INVILUPPO PIL'!D14</f>
        <v>N</v>
      </c>
      <c r="C15" s="8">
        <f>'[3]INVILUPPO PIL'!E14</f>
        <v>-75.069999999999993</v>
      </c>
      <c r="D15" s="8">
        <f>'[3]INVILUPPO PIL'!F14</f>
        <v>-52.822000000000003</v>
      </c>
      <c r="E15" s="8">
        <f>'[3]INVILUPPO PIL'!G14</f>
        <v>168.86599999999999</v>
      </c>
      <c r="F15" s="8">
        <f>'[3]INVILUPPO PIL'!H14</f>
        <v>9.9379999999999988</v>
      </c>
      <c r="G15" s="8">
        <f>'[3]INVILUPPO PIL'!I14</f>
        <v>171.84739999999999</v>
      </c>
      <c r="H15" s="8">
        <f>'[3]INVILUPPO PIL'!J14</f>
        <v>60.597799999999992</v>
      </c>
      <c r="L15" s="8" t="str">
        <f>'[3]INVILUPPO PIL'!AG14</f>
        <v>q-Fy</v>
      </c>
      <c r="M15" s="8">
        <f>'[3]INVILUPPO PIL'!AH14</f>
        <v>-45.509099999999997</v>
      </c>
      <c r="N15" s="8">
        <f>'[3]INVILUPPO PIL'!AI14</f>
        <v>-90.190799999999996</v>
      </c>
      <c r="O15" s="8">
        <f>'[3]INVILUPPO PIL'!AJ14</f>
        <v>38.523499999999999</v>
      </c>
      <c r="P15" s="8">
        <f>'[3]INVILUPPO PIL'!AK14</f>
        <v>86.822599999999994</v>
      </c>
      <c r="Q15" s="8">
        <f>'[3]INVILUPPO PIL'!AL14</f>
        <v>-382.24480000000005</v>
      </c>
      <c r="R15" s="39"/>
      <c r="S15" s="9"/>
      <c r="T15" s="40"/>
      <c r="U15" s="42"/>
      <c r="V15" s="47"/>
      <c r="W15" s="9"/>
      <c r="X15" s="40"/>
      <c r="Y15" s="9"/>
      <c r="Z15" s="9"/>
      <c r="AA15" s="9"/>
      <c r="AB15" s="40"/>
      <c r="AC15" s="46"/>
      <c r="AD15" s="9"/>
      <c r="AE15" s="41"/>
      <c r="AF15" s="9"/>
      <c r="AG15" s="9"/>
      <c r="AH15" s="42" t="s">
        <v>109</v>
      </c>
      <c r="AI15" s="9"/>
      <c r="AJ15" s="41"/>
      <c r="AK15" s="39"/>
      <c r="AL15" s="9"/>
      <c r="AM15" s="42" t="s">
        <v>110</v>
      </c>
      <c r="AN15" s="9"/>
      <c r="AO15" s="41"/>
      <c r="AQ15" s="36"/>
      <c r="AT15" s="23"/>
    </row>
    <row r="16" spans="1:46" x14ac:dyDescent="0.2">
      <c r="A16" s="8">
        <f>'[3]INVILUPPO PIL'!C15</f>
        <v>3</v>
      </c>
      <c r="B16" s="8" t="str">
        <f>'[3]INVILUPPO PIL'!D15</f>
        <v>Msup</v>
      </c>
      <c r="C16" s="8">
        <f>'[3]INVILUPPO PIL'!E15</f>
        <v>-8.01</v>
      </c>
      <c r="D16" s="8">
        <f>'[3]INVILUPPO PIL'!F15</f>
        <v>-5.585</v>
      </c>
      <c r="E16" s="8">
        <f>'[3]INVILUPPO PIL'!G15</f>
        <v>132.94399999999999</v>
      </c>
      <c r="F16" s="8">
        <f>'[3]INVILUPPO PIL'!H15</f>
        <v>8.1879999999999988</v>
      </c>
      <c r="G16" s="8">
        <f>'[3]INVILUPPO PIL'!I15</f>
        <v>135.40039999999999</v>
      </c>
      <c r="H16" s="8">
        <f>'[3]INVILUPPO PIL'!J15</f>
        <v>48.07119999999999</v>
      </c>
      <c r="K16" s="8">
        <f>'[3]INVILUPPO PIL'!AF15</f>
        <v>3</v>
      </c>
      <c r="L16" s="8" t="str">
        <f>'[3]INVILUPPO PIL'!AG15</f>
        <v>q+Fx</v>
      </c>
      <c r="M16" s="8">
        <f>'[3]INVILUPPO PIL'!AH15</f>
        <v>129.81539999999998</v>
      </c>
      <c r="N16" s="8">
        <f>'[3]INVILUPPO PIL'!AI15</f>
        <v>10.981999999999996</v>
      </c>
      <c r="O16" s="8">
        <f>'[3]INVILUPPO PIL'!AJ15</f>
        <v>-117.65729999999999</v>
      </c>
      <c r="P16" s="8">
        <f>'[3]INVILUPPO PIL'!AK15</f>
        <v>-10.223899999999997</v>
      </c>
      <c r="Q16" s="32">
        <f>'[3]INVILUPPO PIL'!AL15</f>
        <v>39.598700000000008</v>
      </c>
      <c r="R16" s="39">
        <v>3</v>
      </c>
      <c r="S16" s="9">
        <f>$G$18</f>
        <v>80.500500000000002</v>
      </c>
      <c r="T16" s="40">
        <f>Q16</f>
        <v>39.598700000000008</v>
      </c>
      <c r="U16" s="42" t="s">
        <v>2</v>
      </c>
      <c r="V16" s="45" t="s">
        <v>19</v>
      </c>
      <c r="W16" s="9">
        <v>10.96</v>
      </c>
      <c r="X16" s="40">
        <f>(1.2*W16*391.3/10)-G14</f>
        <v>451.7798600000001</v>
      </c>
      <c r="Y16" s="9"/>
      <c r="Z16" s="9"/>
      <c r="AA16" s="9"/>
      <c r="AB16" s="40">
        <f>-Q12/($Z$8*$AA$8)</f>
        <v>117.18494623655917</v>
      </c>
      <c r="AC16" s="46">
        <f>AB16/14.17/1000</f>
        <v>8.2699326913591512E-3</v>
      </c>
      <c r="AD16" s="9"/>
      <c r="AE16" s="41"/>
      <c r="AF16" s="9"/>
      <c r="AG16" s="9"/>
      <c r="AH16" s="40">
        <f>$Y$8*14.17*$AD$8*($AE$8/10)*((1-(AC16/$Y$8))^(1/2))</f>
        <v>1127.6369776661679</v>
      </c>
      <c r="AI16" s="9"/>
      <c r="AJ16" s="41"/>
      <c r="AK16" s="39"/>
      <c r="AL16" s="40">
        <f>1.2*$AD$8*($AE$8/10)*(1+(ABS(Q12)/(1.2*$AD$8*($AE$8/10))))^(1/2)</f>
        <v>233.84438517954632</v>
      </c>
      <c r="AM16" s="9"/>
      <c r="AN16" s="9"/>
      <c r="AO16" s="41"/>
      <c r="AQ16" s="36">
        <f>X16/($AD$8*$AE$8)*10</f>
        <v>2.4289239784946242</v>
      </c>
      <c r="AT16" s="23">
        <f>(((AQ17^2)/(1.2+(AC16*14.17))-1.2))*(($AD$8*($AP$8*100)/391.3))</f>
        <v>13.072426215024477</v>
      </c>
    </row>
    <row r="17" spans="1:46" x14ac:dyDescent="0.2">
      <c r="B17" s="8" t="str">
        <f>'[3]INVILUPPO PIL'!D16</f>
        <v>Minf</v>
      </c>
      <c r="C17" s="8">
        <f>'[3]INVILUPPO PIL'!E16</f>
        <v>8.39</v>
      </c>
      <c r="D17" s="8">
        <f>'[3]INVILUPPO PIL'!F16</f>
        <v>5.7750000000000004</v>
      </c>
      <c r="E17" s="8">
        <f>'[3]INVILUPPO PIL'!G16</f>
        <v>-121.215</v>
      </c>
      <c r="F17" s="8">
        <f>'[3]INVILUPPO PIL'!H16</f>
        <v>-7.391</v>
      </c>
      <c r="G17" s="8">
        <f>'[3]INVILUPPO PIL'!I16</f>
        <v>-123.4323</v>
      </c>
      <c r="H17" s="8">
        <f>'[3]INVILUPPO PIL'!J16</f>
        <v>-43.755499999999998</v>
      </c>
      <c r="L17" s="8" t="str">
        <f>'[3]INVILUPPO PIL'!AG16</f>
        <v>q-Fx</v>
      </c>
      <c r="M17" s="8">
        <f>'[3]INVILUPPO PIL'!AH16</f>
        <v>-140.9854</v>
      </c>
      <c r="N17" s="8">
        <f>'[3]INVILUPPO PIL'!AI16</f>
        <v>-59.813999999999993</v>
      </c>
      <c r="O17" s="8">
        <f>'[3]INVILUPPO PIL'!AJ16</f>
        <v>129.2073</v>
      </c>
      <c r="P17" s="8">
        <f>'[3]INVILUPPO PIL'!AK16</f>
        <v>58.457899999999995</v>
      </c>
      <c r="Q17" s="32">
        <f>'[3]INVILUPPO PIL'!AL16</f>
        <v>-688.64070000000004</v>
      </c>
      <c r="R17" s="39"/>
      <c r="S17" s="9"/>
      <c r="T17" s="40">
        <f>Q17</f>
        <v>-688.64070000000004</v>
      </c>
      <c r="U17" s="42" t="s">
        <v>3</v>
      </c>
      <c r="V17" s="45" t="s">
        <v>19</v>
      </c>
      <c r="W17" s="9">
        <v>10.96</v>
      </c>
      <c r="X17" s="40">
        <f>(1.2*W17*391.3/10)-G14</f>
        <v>451.7798600000001</v>
      </c>
      <c r="Y17" s="9"/>
      <c r="Z17" s="9"/>
      <c r="AA17" s="9"/>
      <c r="AB17" s="40">
        <f>-Q13/($Z$8*$AA$8)</f>
        <v>2420.1483870967741</v>
      </c>
      <c r="AC17" s="46">
        <f>AB17/14.17/1000</f>
        <v>0.17079381701459237</v>
      </c>
      <c r="AD17" s="9"/>
      <c r="AE17" s="41"/>
      <c r="AF17" s="9"/>
      <c r="AG17" s="9"/>
      <c r="AH17" s="9"/>
      <c r="AI17" s="9"/>
      <c r="AJ17" s="41"/>
      <c r="AK17" s="39"/>
      <c r="AL17" s="9"/>
      <c r="AM17" s="9"/>
      <c r="AN17" s="9"/>
      <c r="AO17" s="41"/>
      <c r="AQ17" s="36">
        <f>X17/($AD$8*$AE$8)*10</f>
        <v>2.4289239784946242</v>
      </c>
      <c r="AT17" s="23"/>
    </row>
    <row r="18" spans="1:46" x14ac:dyDescent="0.2">
      <c r="B18" s="8" t="str">
        <f>'[3]INVILUPPO PIL'!D17</f>
        <v>V</v>
      </c>
      <c r="C18" s="8">
        <f>'[3]INVILUPPO PIL'!E17</f>
        <v>-5.125</v>
      </c>
      <c r="D18" s="8">
        <f>'[3]INVILUPPO PIL'!F17</f>
        <v>-3.55</v>
      </c>
      <c r="E18" s="8">
        <f>'[3]INVILUPPO PIL'!G17</f>
        <v>79.040999999999997</v>
      </c>
      <c r="F18" s="8">
        <f>'[3]INVILUPPO PIL'!H17</f>
        <v>4.8650000000000002</v>
      </c>
      <c r="G18" s="32">
        <f>'[3]INVILUPPO PIL'!I17</f>
        <v>80.500500000000002</v>
      </c>
      <c r="H18" s="8">
        <f>'[3]INVILUPPO PIL'!J17</f>
        <v>28.577300000000001</v>
      </c>
      <c r="L18" s="8" t="str">
        <f>'[3]INVILUPPO PIL'!AG17</f>
        <v>q+Fy</v>
      </c>
      <c r="M18" s="8">
        <f>'[3]INVILUPPO PIL'!AH17</f>
        <v>42.48619999999999</v>
      </c>
      <c r="N18" s="8">
        <f>'[3]INVILUPPO PIL'!AI17</f>
        <v>49.22999999999999</v>
      </c>
      <c r="O18" s="8">
        <f>'[3]INVILUPPO PIL'!AJ17</f>
        <v>-37.980499999999999</v>
      </c>
      <c r="P18" s="8">
        <f>'[3]INVILUPPO PIL'!AK17</f>
        <v>-47.048799999999986</v>
      </c>
      <c r="Q18" s="8">
        <f>'[3]INVILUPPO PIL'!AL17</f>
        <v>-80.815299999999979</v>
      </c>
      <c r="R18" s="39"/>
      <c r="S18" s="9"/>
      <c r="T18" s="40"/>
      <c r="U18" s="42"/>
      <c r="V18" s="47"/>
      <c r="W18" s="9"/>
      <c r="X18" s="40"/>
      <c r="Y18" s="9"/>
      <c r="Z18" s="9"/>
      <c r="AA18" s="9"/>
      <c r="AB18" s="40"/>
      <c r="AC18" s="46"/>
      <c r="AD18" s="9"/>
      <c r="AE18" s="41"/>
      <c r="AF18" s="9"/>
      <c r="AG18" s="9"/>
      <c r="AH18" s="9"/>
      <c r="AI18" s="9"/>
      <c r="AJ18" s="41"/>
      <c r="AK18" s="39"/>
      <c r="AL18" s="9"/>
      <c r="AM18" s="9"/>
      <c r="AN18" s="9"/>
      <c r="AO18" s="41"/>
      <c r="AQ18" s="36"/>
      <c r="AT18" s="23"/>
    </row>
    <row r="19" spans="1:46" x14ac:dyDescent="0.2">
      <c r="B19" s="8" t="str">
        <f>'[3]INVILUPPO PIL'!D18</f>
        <v>N</v>
      </c>
      <c r="C19" s="8">
        <f>'[3]INVILUPPO PIL'!E18</f>
        <v>-104.759</v>
      </c>
      <c r="D19" s="8">
        <f>'[3]INVILUPPO PIL'!F18</f>
        <v>-73.759</v>
      </c>
      <c r="E19" s="8">
        <f>'[3]INVILUPPO PIL'!G18</f>
        <v>290.71500000000003</v>
      </c>
      <c r="F19" s="8">
        <f>'[3]INVILUPPO PIL'!H18</f>
        <v>17.724</v>
      </c>
      <c r="G19" s="8">
        <f>'[3]INVILUPPO PIL'!I18</f>
        <v>296.03220000000005</v>
      </c>
      <c r="H19" s="8">
        <f>'[3]INVILUPPO PIL'!J18</f>
        <v>104.9385</v>
      </c>
      <c r="L19" s="8" t="str">
        <f>'[3]INVILUPPO PIL'!AG18</f>
        <v>q-Fy</v>
      </c>
      <c r="M19" s="8">
        <f>'[3]INVILUPPO PIL'!AH18</f>
        <v>-53.656199999999991</v>
      </c>
      <c r="N19" s="8">
        <f>'[3]INVILUPPO PIL'!AI18</f>
        <v>-98.061999999999983</v>
      </c>
      <c r="O19" s="8">
        <f>'[3]INVILUPPO PIL'!AJ18</f>
        <v>49.530499999999996</v>
      </c>
      <c r="P19" s="8">
        <f>'[3]INVILUPPO PIL'!AK18</f>
        <v>95.282799999999995</v>
      </c>
      <c r="Q19" s="8">
        <f>'[3]INVILUPPO PIL'!AL18</f>
        <v>-568.22670000000005</v>
      </c>
      <c r="R19" s="39"/>
      <c r="S19" s="9"/>
      <c r="T19" s="40"/>
      <c r="U19" s="42"/>
      <c r="V19" s="47"/>
      <c r="W19" s="9"/>
      <c r="X19" s="40"/>
      <c r="Y19" s="9"/>
      <c r="Z19" s="9"/>
      <c r="AA19" s="9"/>
      <c r="AB19" s="40"/>
      <c r="AC19" s="46"/>
      <c r="AD19" s="9"/>
      <c r="AE19" s="41"/>
      <c r="AF19" s="9"/>
      <c r="AG19" s="9"/>
      <c r="AH19" s="42" t="s">
        <v>109</v>
      </c>
      <c r="AI19" s="9"/>
      <c r="AJ19" s="41"/>
      <c r="AK19" s="39"/>
      <c r="AL19" s="9"/>
      <c r="AM19" s="42" t="s">
        <v>110</v>
      </c>
      <c r="AN19" s="9"/>
      <c r="AO19" s="41"/>
      <c r="AQ19" s="36"/>
      <c r="AT19" s="23"/>
    </row>
    <row r="20" spans="1:46" x14ac:dyDescent="0.2">
      <c r="A20" s="8">
        <f>'[3]INVILUPPO PIL'!C19</f>
        <v>2</v>
      </c>
      <c r="B20" s="8" t="str">
        <f>'[3]INVILUPPO PIL'!D19</f>
        <v>Msup</v>
      </c>
      <c r="C20" s="8">
        <f>'[3]INVILUPPO PIL'!E19</f>
        <v>-8.1329999999999991</v>
      </c>
      <c r="D20" s="8">
        <f>'[3]INVILUPPO PIL'!F19</f>
        <v>-5.7380000000000004</v>
      </c>
      <c r="E20" s="8">
        <f>'[3]INVILUPPO PIL'!G19</f>
        <v>144.47</v>
      </c>
      <c r="F20" s="8">
        <f>'[3]INVILUPPO PIL'!H19</f>
        <v>8.952</v>
      </c>
      <c r="G20" s="8">
        <f>'[3]INVILUPPO PIL'!I19</f>
        <v>147.15559999999999</v>
      </c>
      <c r="H20" s="8">
        <f>'[3]INVILUPPO PIL'!J19</f>
        <v>52.292999999999999</v>
      </c>
      <c r="K20" s="8">
        <f>'[3]INVILUPPO PIL'!AF19</f>
        <v>2</v>
      </c>
      <c r="L20" s="8" t="str">
        <f>'[3]INVILUPPO PIL'!AG19</f>
        <v>q+Fx</v>
      </c>
      <c r="M20" s="8">
        <f>'[3]INVILUPPO PIL'!AH19</f>
        <v>141.41759999999999</v>
      </c>
      <c r="N20" s="8">
        <f>'[3]INVILUPPO PIL'!AI19</f>
        <v>14.422699999999995</v>
      </c>
      <c r="O20" s="8">
        <f>'[3]INVILUPPO PIL'!AJ19</f>
        <v>-153.43130000000002</v>
      </c>
      <c r="P20" s="8">
        <f>'[3]INVILUPPO PIL'!AK19</f>
        <v>-14.228299999999997</v>
      </c>
      <c r="Q20" s="32">
        <f>'[3]INVILUPPO PIL'!AL19</f>
        <v>129.80419999999998</v>
      </c>
      <c r="R20" s="39">
        <v>2</v>
      </c>
      <c r="S20" s="9">
        <f>$G$22</f>
        <v>95.786799999999999</v>
      </c>
      <c r="T20" s="40">
        <f>Q20</f>
        <v>129.80419999999998</v>
      </c>
      <c r="U20" s="42" t="s">
        <v>2</v>
      </c>
      <c r="V20" s="45" t="s">
        <v>30</v>
      </c>
      <c r="W20" s="9">
        <v>14.11</v>
      </c>
      <c r="X20" s="40">
        <f>(1.2*W20*391.3/10)-G18</f>
        <v>582.04865999999993</v>
      </c>
      <c r="Y20" s="9"/>
      <c r="Z20" s="9"/>
      <c r="AA20" s="9"/>
      <c r="AB20" s="40">
        <f>Q16/($Z$8*$AA$8)</f>
        <v>212.89623655913982</v>
      </c>
      <c r="AC20" s="46">
        <f>AB20/14.17/1000</f>
        <v>1.5024434478414948E-2</v>
      </c>
      <c r="AD20" s="9"/>
      <c r="AE20" s="41"/>
      <c r="AF20" s="9"/>
      <c r="AG20" s="9"/>
      <c r="AH20" s="40">
        <f>$Y$8*14.17*$AD$8*($AE$8/10)*((1-(AC20/$Y$8))^(1/2))</f>
        <v>1118.6132804039371</v>
      </c>
      <c r="AI20" s="9"/>
      <c r="AJ20" s="41"/>
      <c r="AK20" s="39"/>
      <c r="AL20" s="40">
        <f>1.2*$AD$8*($AE$8/10)*(1+(ABS(Q16)/(1.2*$AD$8*($AE$8/10))))^(1/2)</f>
        <v>242.19139092874462</v>
      </c>
      <c r="AM20" s="9"/>
      <c r="AN20" s="9"/>
      <c r="AO20" s="41"/>
      <c r="AQ20" s="36">
        <f>X20/($AD$8*$AE$8)*10</f>
        <v>3.1292938709677416</v>
      </c>
      <c r="AT20" s="23">
        <f>(((AQ21^2)/(1.2+(AC20*14.17))-1.2))*(($AD$8*($AP$8*100)/391.3))</f>
        <v>16.135426946111725</v>
      </c>
    </row>
    <row r="21" spans="1:46" x14ac:dyDescent="0.2">
      <c r="B21" s="8" t="str">
        <f>'[3]INVILUPPO PIL'!D20</f>
        <v>Minf</v>
      </c>
      <c r="C21" s="8">
        <f>'[3]INVILUPPO PIL'!E20</f>
        <v>9.76</v>
      </c>
      <c r="D21" s="8">
        <f>'[3]INVILUPPO PIL'!F20</f>
        <v>6.79</v>
      </c>
      <c r="E21" s="8">
        <f>'[3]INVILUPPO PIL'!G20</f>
        <v>-157.48500000000001</v>
      </c>
      <c r="F21" s="8">
        <f>'[3]INVILUPPO PIL'!H20</f>
        <v>-9.1210000000000004</v>
      </c>
      <c r="G21" s="8">
        <f>'[3]INVILUPPO PIL'!I20</f>
        <v>-160.22130000000001</v>
      </c>
      <c r="H21" s="8">
        <f>'[3]INVILUPPO PIL'!J20</f>
        <v>-56.366500000000002</v>
      </c>
      <c r="L21" s="8" t="str">
        <f>'[3]INVILUPPO PIL'!AG20</f>
        <v>q-Fx</v>
      </c>
      <c r="M21" s="8">
        <f>'[3]INVILUPPO PIL'!AH20</f>
        <v>-152.89359999999999</v>
      </c>
      <c r="N21" s="8">
        <f>'[3]INVILUPPO PIL'!AI20</f>
        <v>-62.6267</v>
      </c>
      <c r="O21" s="8">
        <f>'[3]INVILUPPO PIL'!AJ20</f>
        <v>167.01130000000001</v>
      </c>
      <c r="P21" s="8">
        <f>'[3]INVILUPPO PIL'!AK20</f>
        <v>64.996299999999991</v>
      </c>
      <c r="Q21" s="32">
        <f>'[3]INVILUPPO PIL'!AL20</f>
        <v>-953.6561999999999</v>
      </c>
      <c r="R21" s="39"/>
      <c r="S21" s="9"/>
      <c r="T21" s="40">
        <f>Q21</f>
        <v>-953.6561999999999</v>
      </c>
      <c r="U21" s="42" t="s">
        <v>3</v>
      </c>
      <c r="V21" s="45" t="s">
        <v>18</v>
      </c>
      <c r="W21" s="9">
        <v>12.5</v>
      </c>
      <c r="X21" s="40">
        <f>(1.2*W21*391.3/10)-G18</f>
        <v>506.44950000000006</v>
      </c>
      <c r="Y21" s="9"/>
      <c r="Z21" s="9"/>
      <c r="AA21" s="9"/>
      <c r="AB21" s="40">
        <f>-Q17/($Z$8*$AA$8)</f>
        <v>3702.36935483871</v>
      </c>
      <c r="AC21" s="46">
        <f>AB21/14.17/1000</f>
        <v>0.26128224099073466</v>
      </c>
      <c r="AD21" s="9"/>
      <c r="AE21" s="41"/>
      <c r="AF21" s="9"/>
      <c r="AG21" s="9"/>
      <c r="AH21" s="9"/>
      <c r="AI21" s="9"/>
      <c r="AJ21" s="41"/>
      <c r="AK21" s="39"/>
      <c r="AL21" s="9"/>
      <c r="AM21" s="9"/>
      <c r="AN21" s="9"/>
      <c r="AO21" s="41"/>
      <c r="AQ21" s="36">
        <f>X21/($AD$8*$AE$8)*10</f>
        <v>2.7228467741935485</v>
      </c>
      <c r="AT21" s="23"/>
    </row>
    <row r="22" spans="1:46" x14ac:dyDescent="0.2">
      <c r="B22" s="8" t="str">
        <f>'[3]INVILUPPO PIL'!D21</f>
        <v>V</v>
      </c>
      <c r="C22" s="8">
        <f>'[3]INVILUPPO PIL'!E21</f>
        <v>-5.5910000000000002</v>
      </c>
      <c r="D22" s="8">
        <f>'[3]INVILUPPO PIL'!F21</f>
        <v>-3.915</v>
      </c>
      <c r="E22" s="8">
        <f>'[3]INVILUPPO PIL'!G21</f>
        <v>94.093000000000004</v>
      </c>
      <c r="F22" s="8">
        <f>'[3]INVILUPPO PIL'!H21</f>
        <v>5.6459999999999999</v>
      </c>
      <c r="G22" s="32">
        <f>'[3]INVILUPPO PIL'!I21</f>
        <v>95.786799999999999</v>
      </c>
      <c r="H22" s="8">
        <f>'[3]INVILUPPO PIL'!J21</f>
        <v>33.873899999999999</v>
      </c>
      <c r="L22" s="8" t="str">
        <f>'[3]INVILUPPO PIL'!AG21</f>
        <v>q+Fy</v>
      </c>
      <c r="M22" s="8">
        <f>'[3]INVILUPPO PIL'!AH21</f>
        <v>46.555</v>
      </c>
      <c r="N22" s="8">
        <f>'[3]INVILUPPO PIL'!AI21</f>
        <v>57.224199999999996</v>
      </c>
      <c r="O22" s="8">
        <f>'[3]INVILUPPO PIL'!AJ21</f>
        <v>-49.576500000000003</v>
      </c>
      <c r="P22" s="8">
        <f>'[3]INVILUPPO PIL'!AK21</f>
        <v>-57.826399999999992</v>
      </c>
      <c r="Q22" s="8">
        <f>'[3]INVILUPPO PIL'!AL21</f>
        <v>-55.345799999999997</v>
      </c>
      <c r="R22" s="39"/>
      <c r="S22" s="9"/>
      <c r="T22" s="40"/>
      <c r="U22" s="42"/>
      <c r="V22" s="47"/>
      <c r="W22" s="9"/>
      <c r="X22" s="40"/>
      <c r="Y22" s="9"/>
      <c r="Z22" s="9"/>
      <c r="AA22" s="9"/>
      <c r="AB22" s="40"/>
      <c r="AC22" s="46"/>
      <c r="AD22" s="9"/>
      <c r="AE22" s="41"/>
      <c r="AF22" s="9"/>
      <c r="AG22" s="9"/>
      <c r="AH22" s="9"/>
      <c r="AI22" s="9"/>
      <c r="AJ22" s="41"/>
      <c r="AK22" s="39"/>
      <c r="AL22" s="9"/>
      <c r="AM22" s="9"/>
      <c r="AN22" s="9"/>
      <c r="AO22" s="41"/>
      <c r="AQ22" s="36"/>
      <c r="AT22" s="23"/>
    </row>
    <row r="23" spans="1:46" x14ac:dyDescent="0.2">
      <c r="B23" s="8" t="str">
        <f>'[3]INVILUPPO PIL'!D22</f>
        <v>N</v>
      </c>
      <c r="C23" s="8">
        <f>'[3]INVILUPPO PIL'!E22</f>
        <v>-134.071</v>
      </c>
      <c r="D23" s="8">
        <f>'[3]INVILUPPO PIL'!F22</f>
        <v>-94.478999999999999</v>
      </c>
      <c r="E23" s="8">
        <f>'[3]INVILUPPO PIL'!G22</f>
        <v>436.97800000000001</v>
      </c>
      <c r="F23" s="8">
        <f>'[3]INVILUPPO PIL'!H22</f>
        <v>27.148000000000003</v>
      </c>
      <c r="G23" s="8">
        <f>'[3]INVILUPPO PIL'!I22</f>
        <v>445.12240000000003</v>
      </c>
      <c r="H23" s="8">
        <f>'[3]INVILUPPO PIL'!J22</f>
        <v>158.2414</v>
      </c>
      <c r="L23" s="8" t="str">
        <f>'[3]INVILUPPO PIL'!AG22</f>
        <v>q-Fy</v>
      </c>
      <c r="M23" s="8">
        <f>'[3]INVILUPPO PIL'!AH22</f>
        <v>-58.030999999999999</v>
      </c>
      <c r="N23" s="8">
        <f>'[3]INVILUPPO PIL'!AI22</f>
        <v>-105.4282</v>
      </c>
      <c r="O23" s="8">
        <f>'[3]INVILUPPO PIL'!AJ22</f>
        <v>63.156500000000001</v>
      </c>
      <c r="P23" s="8">
        <f>'[3]INVILUPPO PIL'!AK22</f>
        <v>108.59439999999999</v>
      </c>
      <c r="Q23" s="8">
        <f>'[3]INVILUPPO PIL'!AL22</f>
        <v>-768.50620000000004</v>
      </c>
      <c r="R23" s="39"/>
      <c r="S23" s="9"/>
      <c r="T23" s="40"/>
      <c r="U23" s="42"/>
      <c r="V23" s="47"/>
      <c r="W23" s="9"/>
      <c r="X23" s="40"/>
      <c r="Y23" s="9"/>
      <c r="Z23" s="9"/>
      <c r="AA23" s="9"/>
      <c r="AB23" s="40"/>
      <c r="AC23" s="46"/>
      <c r="AD23" s="9"/>
      <c r="AE23" s="41"/>
      <c r="AF23" s="9"/>
      <c r="AG23" s="9"/>
      <c r="AH23" s="42" t="s">
        <v>109</v>
      </c>
      <c r="AI23" s="9"/>
      <c r="AJ23" s="41"/>
      <c r="AK23" s="39"/>
      <c r="AL23" s="9"/>
      <c r="AM23" s="42" t="s">
        <v>110</v>
      </c>
      <c r="AN23" s="9"/>
      <c r="AO23" s="41"/>
      <c r="AQ23" s="36"/>
      <c r="AT23" s="23"/>
    </row>
    <row r="24" spans="1:46" x14ac:dyDescent="0.2">
      <c r="A24" s="8">
        <f>'[3]INVILUPPO PIL'!C23</f>
        <v>1</v>
      </c>
      <c r="B24" s="8" t="str">
        <f>'[3]INVILUPPO PIL'!D23</f>
        <v>Msup</v>
      </c>
      <c r="C24" s="8">
        <f>'[3]INVILUPPO PIL'!E23</f>
        <v>-5.4630000000000001</v>
      </c>
      <c r="D24" s="8">
        <f>'[3]INVILUPPO PIL'!F23</f>
        <v>-3.9129999999999998</v>
      </c>
      <c r="E24" s="8">
        <f>'[3]INVILUPPO PIL'!G23</f>
        <v>118.10799999999999</v>
      </c>
      <c r="F24" s="8">
        <f>'[3]INVILUPPO PIL'!H23</f>
        <v>9.2210000000000001</v>
      </c>
      <c r="G24" s="8">
        <f>'[3]INVILUPPO PIL'!I23</f>
        <v>120.87429999999999</v>
      </c>
      <c r="H24" s="8">
        <f>'[3]INVILUPPO PIL'!J23</f>
        <v>44.653399999999991</v>
      </c>
      <c r="K24" s="8">
        <f>'[3]INVILUPPO PIL'!AF23</f>
        <v>1</v>
      </c>
      <c r="L24" s="8" t="str">
        <f>'[3]INVILUPPO PIL'!AG23</f>
        <v>q+Fx</v>
      </c>
      <c r="M24" s="8">
        <f>'[3]INVILUPPO PIL'!AH23</f>
        <v>116.96129999999999</v>
      </c>
      <c r="N24" s="8">
        <f>'[3]INVILUPPO PIL'!AI23</f>
        <v>15.061199999999999</v>
      </c>
      <c r="O24" s="8">
        <f>'[3]INVILUPPO PIL'!AJ23</f>
        <v>-282.50290000000001</v>
      </c>
      <c r="P24" s="8">
        <f>'[3]INVILUPPO PIL'!AK23</f>
        <v>-29.677699999999998</v>
      </c>
      <c r="Q24" s="32">
        <f>'[3]INVILUPPO PIL'!AL23</f>
        <v>228.85350000000005</v>
      </c>
      <c r="R24" s="39">
        <v>1</v>
      </c>
      <c r="S24" s="9">
        <f>$G$26</f>
        <v>109.49169999999999</v>
      </c>
      <c r="T24" s="40">
        <f>Q24</f>
        <v>228.85350000000005</v>
      </c>
      <c r="U24" s="42" t="s">
        <v>2</v>
      </c>
      <c r="V24" s="45" t="s">
        <v>30</v>
      </c>
      <c r="W24" s="9">
        <v>14.11</v>
      </c>
      <c r="X24" s="40">
        <f>(1.2*W24*391.3/10)-G22</f>
        <v>566.76235999999994</v>
      </c>
      <c r="Y24" s="9"/>
      <c r="Z24" s="9"/>
      <c r="AA24" s="9"/>
      <c r="AB24" s="40">
        <f>Q20/($Z$8*$AA$8)</f>
        <v>697.87204301075258</v>
      </c>
      <c r="AC24" s="46">
        <f>AB24/14.17/1000</f>
        <v>4.9249967749523824E-2</v>
      </c>
      <c r="AD24" s="9"/>
      <c r="AE24" s="41"/>
      <c r="AF24" s="21"/>
      <c r="AG24" s="21"/>
      <c r="AH24" s="43">
        <f>$Y$8*14.17*$AD$8*($AE$8/10)*((1-(AC24/$Y$8))^(1/2))</f>
        <v>1071.7223454304467</v>
      </c>
      <c r="AI24" s="21"/>
      <c r="AJ24" s="29"/>
      <c r="AK24" s="27"/>
      <c r="AL24" s="43">
        <f>1.2*$AD$8*($AE$8/10)*(1+(ABS(Q20)/(1.2*$AD$8*($AE$8/10))))^(1/2)</f>
        <v>280.69652195921486</v>
      </c>
      <c r="AM24" s="21"/>
      <c r="AN24" s="21"/>
      <c r="AO24" s="29"/>
      <c r="AQ24" s="36">
        <f>X24/($AD$8*$AE$8)*10</f>
        <v>3.047109462365591</v>
      </c>
      <c r="AT24" s="23">
        <f>(((AQ25^2)/(1.2+(AC24*14.17))-1.2))*(($AD$8*($AP$8*100)/391.3))</f>
        <v>14.719957865769908</v>
      </c>
    </row>
    <row r="25" spans="1:46" x14ac:dyDescent="0.2">
      <c r="B25" s="8" t="str">
        <f>'[3]INVILUPPO PIL'!D24</f>
        <v>Minf</v>
      </c>
      <c r="C25" s="8">
        <f>'[3]INVILUPPO PIL'!E24</f>
        <v>3.3079999999999998</v>
      </c>
      <c r="D25" s="8">
        <f>'[3]INVILUPPO PIL'!F24</f>
        <v>2.2719999999999998</v>
      </c>
      <c r="E25" s="8">
        <f>'[3]INVILUPPO PIL'!G24</f>
        <v>-278.77100000000002</v>
      </c>
      <c r="F25" s="8">
        <f>'[3]INVILUPPO PIL'!H24</f>
        <v>-20.012999999999998</v>
      </c>
      <c r="G25" s="8">
        <f>'[3]INVILUPPO PIL'!I24</f>
        <v>-284.7749</v>
      </c>
      <c r="H25" s="8">
        <f>'[3]INVILUPPO PIL'!J24</f>
        <v>-103.64429999999999</v>
      </c>
      <c r="L25" s="8" t="str">
        <f>'[3]INVILUPPO PIL'!AG24</f>
        <v>q-Fx</v>
      </c>
      <c r="M25" s="8">
        <f>'[3]INVILUPPO PIL'!AH24</f>
        <v>-124.78729999999999</v>
      </c>
      <c r="N25" s="8">
        <f>'[3]INVILUPPO PIL'!AI24</f>
        <v>-44.409199999999998</v>
      </c>
      <c r="O25" s="8">
        <f>'[3]INVILUPPO PIL'!AJ24</f>
        <v>287.04689999999999</v>
      </c>
      <c r="P25" s="8">
        <f>'[3]INVILUPPO PIL'!AK24</f>
        <v>45.545699999999997</v>
      </c>
      <c r="Q25" s="32">
        <f>'[3]INVILUPPO PIL'!AL24</f>
        <v>-1221.9535000000001</v>
      </c>
      <c r="R25" s="27"/>
      <c r="S25" s="21"/>
      <c r="T25" s="43">
        <f>Q25</f>
        <v>-1221.9535000000001</v>
      </c>
      <c r="U25" s="48" t="s">
        <v>3</v>
      </c>
      <c r="V25" s="49" t="s">
        <v>30</v>
      </c>
      <c r="W25" s="21">
        <v>14.11</v>
      </c>
      <c r="X25" s="43">
        <f>(1.2*W25*391.3/10)-G22</f>
        <v>566.76235999999994</v>
      </c>
      <c r="Y25" s="21"/>
      <c r="Z25" s="21"/>
      <c r="AA25" s="21"/>
      <c r="AB25" s="43">
        <f>-Q21/($Z$8*$AA$8)</f>
        <v>5127.1838709677413</v>
      </c>
      <c r="AC25" s="50">
        <f>AB25/14.17/1000</f>
        <v>0.36183372413322096</v>
      </c>
      <c r="AD25" s="21"/>
      <c r="AE25" s="29"/>
      <c r="AQ25" s="36">
        <f>X25/($AD$8*$AE$8)*10</f>
        <v>3.047109462365591</v>
      </c>
    </row>
    <row r="26" spans="1:46" x14ac:dyDescent="0.2">
      <c r="B26" s="8" t="str">
        <f>'[3]INVILUPPO PIL'!D25</f>
        <v>V</v>
      </c>
      <c r="C26" s="8">
        <f>'[3]INVILUPPO PIL'!E25</f>
        <v>-2.37</v>
      </c>
      <c r="D26" s="8">
        <f>'[3]INVILUPPO PIL'!F25</f>
        <v>-1.6719999999999999</v>
      </c>
      <c r="E26" s="8">
        <f>'[3]INVILUPPO PIL'!G25</f>
        <v>107.122</v>
      </c>
      <c r="F26" s="8">
        <f>'[3]INVILUPPO PIL'!H25</f>
        <v>7.899</v>
      </c>
      <c r="G26" s="32">
        <f>'[3]INVILUPPO PIL'!I25</f>
        <v>109.49169999999999</v>
      </c>
      <c r="H26" s="8">
        <f>'[3]INVILUPPO PIL'!J25</f>
        <v>40.035600000000002</v>
      </c>
      <c r="L26" s="8" t="str">
        <f>'[3]INVILUPPO PIL'!AG25</f>
        <v>q+Fy</v>
      </c>
      <c r="M26" s="8">
        <f>'[3]INVILUPPO PIL'!AH25</f>
        <v>40.740399999999994</v>
      </c>
      <c r="N26" s="8">
        <f>'[3]INVILUPPO PIL'!AI25</f>
        <v>50.460900000000002</v>
      </c>
      <c r="O26" s="8">
        <f>'[3]INVILUPPO PIL'!AJ25</f>
        <v>-101.37229999999998</v>
      </c>
      <c r="P26" s="8">
        <f>'[3]INVILUPPO PIL'!AK25</f>
        <v>-74.028300000000002</v>
      </c>
      <c r="Q26" s="8">
        <f>'[3]INVILUPPO PIL'!AL25</f>
        <v>-24.442900000000009</v>
      </c>
      <c r="R26" s="11"/>
      <c r="S26" s="12"/>
      <c r="T26" s="38"/>
      <c r="U26" s="38"/>
      <c r="V26" s="38"/>
      <c r="W26" s="38"/>
      <c r="X26" s="38"/>
      <c r="Y26" s="38"/>
      <c r="Z26" s="38"/>
      <c r="AA26" s="51"/>
      <c r="AB26" s="51"/>
      <c r="AC26" s="38"/>
      <c r="AD26" s="12"/>
      <c r="AE26" s="26"/>
    </row>
    <row r="27" spans="1:46" x14ac:dyDescent="0.2">
      <c r="B27" s="8" t="str">
        <f>'[3]INVILUPPO PIL'!D26</f>
        <v>N</v>
      </c>
      <c r="C27" s="8">
        <f>'[3]INVILUPPO PIL'!E26</f>
        <v>-162.94999999999999</v>
      </c>
      <c r="D27" s="8">
        <f>'[3]INVILUPPO PIL'!F26</f>
        <v>-114.958</v>
      </c>
      <c r="E27" s="8">
        <f>'[3]INVILUPPO PIL'!G26</f>
        <v>589.84799999999996</v>
      </c>
      <c r="F27" s="8">
        <f>'[3]INVILUPPO PIL'!H26</f>
        <v>37.721000000000004</v>
      </c>
      <c r="G27" s="8">
        <f>'[3]INVILUPPO PIL'!I26</f>
        <v>601.16429999999991</v>
      </c>
      <c r="H27" s="8">
        <f>'[3]INVILUPPO PIL'!J26</f>
        <v>214.6754</v>
      </c>
      <c r="L27" s="8" t="str">
        <f>'[3]INVILUPPO PIL'!AG26</f>
        <v>q-Fy</v>
      </c>
      <c r="M27" s="8">
        <f>'[3]INVILUPPO PIL'!AH26</f>
        <v>-48.566399999999987</v>
      </c>
      <c r="N27" s="8">
        <f>'[3]INVILUPPO PIL'!AI26</f>
        <v>-79.808899999999994</v>
      </c>
      <c r="O27" s="8">
        <f>'[3]INVILUPPO PIL'!AJ26</f>
        <v>105.91629999999999</v>
      </c>
      <c r="P27" s="8">
        <f>'[3]INVILUPPO PIL'!AK26</f>
        <v>89.896299999999997</v>
      </c>
      <c r="Q27" s="8">
        <f>'[3]INVILUPPO PIL'!AL26</f>
        <v>-968.6570999999999</v>
      </c>
      <c r="R27" s="39"/>
      <c r="S27" s="9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9"/>
      <c r="AE27" s="41"/>
    </row>
    <row r="28" spans="1:46" ht="12.75" thickBot="1" x14ac:dyDescent="0.25">
      <c r="R28" s="39"/>
      <c r="S28" s="9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9"/>
      <c r="AE28" s="41"/>
    </row>
    <row r="29" spans="1:46" ht="12.75" x14ac:dyDescent="0.2">
      <c r="R29" s="57" t="s">
        <v>123</v>
      </c>
      <c r="S29" s="58" t="s">
        <v>122</v>
      </c>
      <c r="T29" s="58" t="s">
        <v>58</v>
      </c>
      <c r="U29" s="53"/>
      <c r="V29" s="53"/>
      <c r="W29" s="58" t="s">
        <v>101</v>
      </c>
      <c r="X29" s="76" t="s">
        <v>102</v>
      </c>
      <c r="Y29" s="58" t="s">
        <v>103</v>
      </c>
      <c r="Z29" s="58" t="s">
        <v>104</v>
      </c>
      <c r="AA29" s="58" t="s">
        <v>105</v>
      </c>
      <c r="AB29" s="58" t="s">
        <v>106</v>
      </c>
      <c r="AC29" s="58" t="s">
        <v>107</v>
      </c>
      <c r="AD29" s="58" t="s">
        <v>104</v>
      </c>
      <c r="AE29" s="62" t="s">
        <v>105</v>
      </c>
    </row>
    <row r="30" spans="1:46" ht="12.75" x14ac:dyDescent="0.2">
      <c r="E30" s="8" t="s">
        <v>116</v>
      </c>
      <c r="R30" s="59">
        <v>2</v>
      </c>
      <c r="S30" s="60">
        <v>95.786799999999999</v>
      </c>
      <c r="T30" s="61">
        <v>129.80419999999998</v>
      </c>
      <c r="U30" s="60" t="s">
        <v>2</v>
      </c>
      <c r="V30" s="52" t="s">
        <v>30</v>
      </c>
      <c r="W30" s="60">
        <v>14.11</v>
      </c>
      <c r="X30" s="75">
        <v>582.04865999999993</v>
      </c>
      <c r="Y30" s="60">
        <v>0.432</v>
      </c>
      <c r="Z30" s="60">
        <v>0.3</v>
      </c>
      <c r="AA30" s="60">
        <v>0.62</v>
      </c>
      <c r="AB30" s="61">
        <v>212.89623655913982</v>
      </c>
      <c r="AC30" s="63">
        <v>1.5024434478414948E-2</v>
      </c>
      <c r="AD30" s="60">
        <v>30</v>
      </c>
      <c r="AE30" s="64">
        <v>62</v>
      </c>
    </row>
    <row r="31" spans="1:46" ht="12.75" x14ac:dyDescent="0.2">
      <c r="R31" s="59"/>
      <c r="S31" s="60"/>
      <c r="T31" s="61">
        <v>-953.6561999999999</v>
      </c>
      <c r="U31" s="60" t="s">
        <v>3</v>
      </c>
      <c r="V31" s="52" t="s">
        <v>18</v>
      </c>
      <c r="W31" s="60">
        <v>12.5</v>
      </c>
      <c r="X31" s="75">
        <v>506.44950000000006</v>
      </c>
      <c r="Y31" s="60"/>
      <c r="Z31" s="61"/>
      <c r="AA31" s="60"/>
      <c r="AB31" s="61">
        <v>3702.36935483871</v>
      </c>
      <c r="AC31" s="63">
        <v>0.26128224099073466</v>
      </c>
      <c r="AD31" s="60"/>
      <c r="AE31" s="64"/>
    </row>
    <row r="32" spans="1:46" ht="12.75" x14ac:dyDescent="0.2">
      <c r="E32" s="8" t="s">
        <v>117</v>
      </c>
      <c r="F32" s="8" t="s">
        <v>118</v>
      </c>
      <c r="G32" s="8" t="s">
        <v>104</v>
      </c>
      <c r="H32" s="8" t="s">
        <v>119</v>
      </c>
      <c r="I32" s="8" t="s">
        <v>120</v>
      </c>
      <c r="J32" s="8" t="s">
        <v>121</v>
      </c>
      <c r="R32" s="54"/>
      <c r="S32" s="9"/>
      <c r="T32" s="42"/>
      <c r="U32" s="42"/>
      <c r="V32" s="42"/>
      <c r="W32" s="65"/>
      <c r="X32" s="65"/>
      <c r="Y32" s="65"/>
      <c r="Z32" s="65"/>
      <c r="AA32" s="65"/>
      <c r="AB32" s="65"/>
      <c r="AC32" s="65"/>
      <c r="AD32" s="60"/>
      <c r="AE32" s="64"/>
    </row>
    <row r="33" spans="5:31" ht="12.75" x14ac:dyDescent="0.2">
      <c r="E33" s="8">
        <v>25</v>
      </c>
      <c r="F33" s="8">
        <v>2</v>
      </c>
      <c r="G33" s="8">
        <v>30</v>
      </c>
      <c r="H33" s="8">
        <v>450</v>
      </c>
      <c r="I33" s="8">
        <v>1.5</v>
      </c>
      <c r="J33" s="8">
        <f>F33*I33/(G33*0.05*(E33/H33))</f>
        <v>36</v>
      </c>
      <c r="R33" s="54"/>
      <c r="S33" s="9"/>
      <c r="T33" s="9"/>
      <c r="U33" s="9"/>
      <c r="V33" s="73"/>
      <c r="W33" s="70"/>
      <c r="X33" s="70" t="s">
        <v>109</v>
      </c>
      <c r="Y33" s="70"/>
      <c r="Z33" s="70"/>
      <c r="AA33" s="60"/>
      <c r="AB33" s="60"/>
      <c r="AC33" s="65"/>
      <c r="AD33" s="60"/>
      <c r="AE33" s="64"/>
    </row>
    <row r="34" spans="5:31" ht="12.75" x14ac:dyDescent="0.2">
      <c r="R34" s="54"/>
      <c r="S34" s="9"/>
      <c r="T34" s="9"/>
      <c r="U34" s="9"/>
      <c r="V34" s="73"/>
      <c r="W34" s="70"/>
      <c r="X34" s="69">
        <v>1118.6132804039371</v>
      </c>
      <c r="Y34" s="69" t="s">
        <v>81</v>
      </c>
      <c r="Z34" s="69"/>
      <c r="AA34" s="60"/>
      <c r="AB34" s="60"/>
      <c r="AC34" s="65"/>
      <c r="AD34" s="60"/>
      <c r="AE34" s="64"/>
    </row>
    <row r="35" spans="5:31" ht="12.75" x14ac:dyDescent="0.2">
      <c r="R35" s="54"/>
      <c r="S35" s="9"/>
      <c r="T35" s="9"/>
      <c r="U35" s="9"/>
      <c r="V35" s="73"/>
      <c r="W35" s="70"/>
      <c r="X35" s="70"/>
      <c r="Y35" s="70"/>
      <c r="Z35" s="70"/>
      <c r="AA35" s="65"/>
      <c r="AB35" s="65"/>
      <c r="AC35" s="65"/>
      <c r="AD35" s="60"/>
      <c r="AE35" s="64"/>
    </row>
    <row r="36" spans="5:31" ht="12.75" x14ac:dyDescent="0.2">
      <c r="R36" s="54"/>
      <c r="S36" s="9"/>
      <c r="T36" s="9"/>
      <c r="U36" s="9"/>
      <c r="V36" s="74"/>
      <c r="W36" s="70"/>
      <c r="X36" s="70" t="s">
        <v>110</v>
      </c>
      <c r="Y36" s="70"/>
      <c r="Z36" s="70"/>
      <c r="AA36" s="65"/>
      <c r="AB36" s="65"/>
      <c r="AC36" s="65"/>
      <c r="AD36" s="60"/>
      <c r="AE36" s="64"/>
    </row>
    <row r="37" spans="5:31" ht="12.75" x14ac:dyDescent="0.2">
      <c r="R37" s="54"/>
      <c r="S37" s="9"/>
      <c r="T37" s="9"/>
      <c r="U37" s="9"/>
      <c r="V37" s="73"/>
      <c r="W37" s="69"/>
      <c r="X37" s="75">
        <v>242.19139092874462</v>
      </c>
      <c r="Y37" s="69" t="s">
        <v>81</v>
      </c>
      <c r="Z37" s="70"/>
      <c r="AA37" s="65"/>
      <c r="AB37" s="65"/>
      <c r="AC37" s="65"/>
      <c r="AD37" s="60"/>
      <c r="AE37" s="64"/>
    </row>
    <row r="38" spans="5:31" ht="12.75" x14ac:dyDescent="0.2">
      <c r="R38" s="54"/>
      <c r="S38" s="9"/>
      <c r="T38" s="9"/>
      <c r="U38" s="9"/>
      <c r="V38" s="9"/>
      <c r="W38" s="60"/>
      <c r="X38" s="60"/>
      <c r="Y38" s="60"/>
      <c r="Z38" s="60"/>
      <c r="AA38" s="65"/>
      <c r="AB38" s="65"/>
      <c r="AC38" s="65"/>
      <c r="AD38" s="60"/>
      <c r="AE38" s="64"/>
    </row>
    <row r="39" spans="5:31" ht="12.75" x14ac:dyDescent="0.2">
      <c r="R39" s="54"/>
      <c r="S39" s="9"/>
      <c r="T39" s="9"/>
      <c r="U39" s="9"/>
      <c r="V39" s="9"/>
      <c r="W39" s="65" t="s">
        <v>112</v>
      </c>
      <c r="X39" s="65" t="s">
        <v>113</v>
      </c>
      <c r="Y39" s="60"/>
      <c r="Z39" s="60"/>
      <c r="AA39" s="65"/>
      <c r="AB39" s="65"/>
      <c r="AC39" s="65"/>
      <c r="AD39" s="60"/>
      <c r="AE39" s="64"/>
    </row>
    <row r="40" spans="5:31" ht="12.75" x14ac:dyDescent="0.2">
      <c r="R40" s="54"/>
      <c r="S40" s="9"/>
      <c r="T40" s="9"/>
      <c r="U40" s="9"/>
      <c r="V40" s="9"/>
      <c r="W40" s="60">
        <v>0.52</v>
      </c>
      <c r="X40" s="63">
        <v>3.1292938709677416</v>
      </c>
      <c r="Y40" s="60"/>
      <c r="Z40" s="60"/>
      <c r="AA40" s="65"/>
      <c r="AB40" s="65"/>
      <c r="AC40" s="65"/>
      <c r="AD40" s="60"/>
      <c r="AE40" s="64"/>
    </row>
    <row r="41" spans="5:31" ht="12.75" x14ac:dyDescent="0.2">
      <c r="R41" s="54"/>
      <c r="S41" s="9"/>
      <c r="T41" s="9"/>
      <c r="U41" s="9"/>
      <c r="V41" s="9"/>
      <c r="W41" s="60"/>
      <c r="X41" s="63">
        <v>2.7228467741935485</v>
      </c>
      <c r="Y41" s="60"/>
      <c r="Z41" s="60"/>
      <c r="AA41" s="65"/>
      <c r="AB41" s="65"/>
      <c r="AC41" s="65"/>
      <c r="AD41" s="60"/>
      <c r="AE41" s="64"/>
    </row>
    <row r="42" spans="5:31" ht="12.75" x14ac:dyDescent="0.2">
      <c r="R42" s="54"/>
      <c r="S42" s="9"/>
      <c r="T42" s="9"/>
      <c r="U42" s="42"/>
      <c r="V42" s="42"/>
      <c r="W42" s="65"/>
      <c r="X42" s="65"/>
      <c r="Y42" s="65"/>
      <c r="Z42" s="60"/>
      <c r="AA42" s="65"/>
      <c r="AB42" s="65"/>
      <c r="AC42" s="65"/>
      <c r="AD42" s="60"/>
      <c r="AE42" s="64"/>
    </row>
    <row r="43" spans="5:31" ht="12.75" x14ac:dyDescent="0.2">
      <c r="R43" s="54"/>
      <c r="S43" s="9"/>
      <c r="T43" s="9"/>
      <c r="U43" s="9"/>
      <c r="V43" s="9"/>
      <c r="W43" s="69"/>
      <c r="X43" s="70" t="s">
        <v>111</v>
      </c>
      <c r="Y43" s="70"/>
      <c r="Z43" s="60"/>
      <c r="AA43" s="65"/>
      <c r="AB43" s="65"/>
      <c r="AC43" s="65"/>
      <c r="AD43" s="60"/>
      <c r="AE43" s="64"/>
    </row>
    <row r="44" spans="5:31" ht="12.75" x14ac:dyDescent="0.2">
      <c r="R44" s="54"/>
      <c r="S44" s="9"/>
      <c r="T44" s="9"/>
      <c r="U44" s="9"/>
      <c r="V44" s="9"/>
      <c r="W44" s="69"/>
      <c r="X44" s="70" t="s">
        <v>114</v>
      </c>
      <c r="Y44" s="70"/>
      <c r="Z44" s="60"/>
      <c r="AA44" s="65"/>
      <c r="AB44" s="65"/>
      <c r="AC44" s="65"/>
      <c r="AD44" s="60"/>
      <c r="AE44" s="64"/>
    </row>
    <row r="45" spans="5:31" ht="13.5" thickBot="1" x14ac:dyDescent="0.25">
      <c r="R45" s="55"/>
      <c r="S45" s="56"/>
      <c r="T45" s="56"/>
      <c r="U45" s="56"/>
      <c r="V45" s="56"/>
      <c r="W45" s="71"/>
      <c r="X45" s="72">
        <v>16.135426946111725</v>
      </c>
      <c r="Y45" s="71" t="s">
        <v>38</v>
      </c>
      <c r="Z45" s="67"/>
      <c r="AA45" s="66"/>
      <c r="AB45" s="66"/>
      <c r="AC45" s="66"/>
      <c r="AD45" s="67"/>
      <c r="AE45" s="68"/>
    </row>
    <row r="46" spans="5:31" x14ac:dyDescent="0.2">
      <c r="R46" s="39"/>
      <c r="AA46" s="42"/>
      <c r="AB46" s="42"/>
      <c r="AC46" s="42"/>
      <c r="AD46" s="9"/>
    </row>
    <row r="47" spans="5:31" x14ac:dyDescent="0.2">
      <c r="R47" s="39"/>
      <c r="AA47" s="42"/>
      <c r="AB47" s="42"/>
      <c r="AC47" s="42"/>
      <c r="AD47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6"/>
  <sheetViews>
    <sheetView topLeftCell="L97" workbookViewId="0">
      <selection activeCell="S116" sqref="S116:T116"/>
    </sheetView>
  </sheetViews>
  <sheetFormatPr defaultRowHeight="15" x14ac:dyDescent="0.25"/>
  <cols>
    <col min="17" max="17" width="9.140625" style="3"/>
    <col min="35" max="35" width="9.140625" style="3"/>
    <col min="53" max="53" width="9.140625" style="3"/>
  </cols>
  <sheetData>
    <row r="1" spans="1:33" x14ac:dyDescent="0.25">
      <c r="A1" t="s">
        <v>32</v>
      </c>
      <c r="C1">
        <v>1</v>
      </c>
      <c r="L1" s="4">
        <v>1</v>
      </c>
      <c r="M1" s="1">
        <v>5</v>
      </c>
      <c r="S1" t="s">
        <v>32</v>
      </c>
      <c r="U1">
        <v>1</v>
      </c>
      <c r="AD1" s="1">
        <v>1</v>
      </c>
      <c r="AE1" s="4">
        <v>5</v>
      </c>
    </row>
    <row r="2" spans="1:33" x14ac:dyDescent="0.25">
      <c r="J2" t="s">
        <v>33</v>
      </c>
      <c r="L2" s="5" t="s">
        <v>30</v>
      </c>
      <c r="M2" s="2" t="s">
        <v>30</v>
      </c>
      <c r="AB2" t="s">
        <v>33</v>
      </c>
      <c r="AD2" s="2" t="s">
        <v>30</v>
      </c>
      <c r="AE2" s="5" t="s">
        <v>30</v>
      </c>
    </row>
    <row r="3" spans="1:33" x14ac:dyDescent="0.25">
      <c r="A3" t="s">
        <v>34</v>
      </c>
      <c r="B3">
        <v>30</v>
      </c>
      <c r="C3" t="s">
        <v>35</v>
      </c>
      <c r="E3" t="s">
        <v>36</v>
      </c>
      <c r="F3">
        <v>391.3</v>
      </c>
      <c r="G3" t="s">
        <v>37</v>
      </c>
      <c r="I3" t="s">
        <v>38</v>
      </c>
      <c r="J3" t="s">
        <v>4</v>
      </c>
      <c r="L3" s="5" t="s">
        <v>30</v>
      </c>
      <c r="M3" s="2" t="s">
        <v>30</v>
      </c>
      <c r="S3" t="s">
        <v>34</v>
      </c>
      <c r="T3">
        <v>30</v>
      </c>
      <c r="U3" t="s">
        <v>35</v>
      </c>
      <c r="W3" t="s">
        <v>36</v>
      </c>
      <c r="X3">
        <v>391.3</v>
      </c>
      <c r="Y3" t="s">
        <v>37</v>
      </c>
      <c r="AA3" t="s">
        <v>38</v>
      </c>
      <c r="AB3" t="s">
        <v>4</v>
      </c>
      <c r="AD3" s="2" t="s">
        <v>30</v>
      </c>
      <c r="AE3" s="5" t="s">
        <v>30</v>
      </c>
    </row>
    <row r="4" spans="1:33" x14ac:dyDescent="0.25">
      <c r="A4" t="s">
        <v>39</v>
      </c>
      <c r="B4">
        <v>60</v>
      </c>
      <c r="C4" t="s">
        <v>35</v>
      </c>
      <c r="E4" t="s">
        <v>40</v>
      </c>
      <c r="F4">
        <v>14.17</v>
      </c>
      <c r="G4" t="s">
        <v>37</v>
      </c>
      <c r="H4" t="s">
        <v>18</v>
      </c>
      <c r="I4">
        <v>12.5</v>
      </c>
      <c r="S4" t="s">
        <v>39</v>
      </c>
      <c r="T4">
        <v>60</v>
      </c>
      <c r="U4" t="s">
        <v>35</v>
      </c>
      <c r="W4" t="s">
        <v>40</v>
      </c>
      <c r="X4">
        <v>14.17</v>
      </c>
      <c r="Y4" t="s">
        <v>37</v>
      </c>
      <c r="Z4" t="s">
        <v>18</v>
      </c>
      <c r="AA4">
        <v>12.5</v>
      </c>
    </row>
    <row r="5" spans="1:33" x14ac:dyDescent="0.25">
      <c r="A5" t="s">
        <v>41</v>
      </c>
      <c r="B5">
        <v>4</v>
      </c>
      <c r="C5" t="s">
        <v>35</v>
      </c>
      <c r="H5" t="s">
        <v>19</v>
      </c>
      <c r="I5">
        <v>10.96</v>
      </c>
      <c r="S5" t="s">
        <v>41</v>
      </c>
      <c r="T5">
        <v>4</v>
      </c>
      <c r="U5" t="s">
        <v>35</v>
      </c>
      <c r="Z5" t="s">
        <v>19</v>
      </c>
      <c r="AA5">
        <v>10.96</v>
      </c>
    </row>
    <row r="6" spans="1:33" x14ac:dyDescent="0.25">
      <c r="A6" t="s">
        <v>42</v>
      </c>
      <c r="B6">
        <f>B4-B5</f>
        <v>56</v>
      </c>
      <c r="C6" t="s">
        <v>35</v>
      </c>
      <c r="H6" t="s">
        <v>20</v>
      </c>
      <c r="I6">
        <v>9.36</v>
      </c>
      <c r="S6" t="s">
        <v>42</v>
      </c>
      <c r="T6">
        <f>T4-T5</f>
        <v>56</v>
      </c>
      <c r="U6" t="s">
        <v>35</v>
      </c>
      <c r="Z6" t="s">
        <v>20</v>
      </c>
      <c r="AA6">
        <v>9.36</v>
      </c>
    </row>
    <row r="7" spans="1:33" x14ac:dyDescent="0.25">
      <c r="H7" t="s">
        <v>21</v>
      </c>
      <c r="I7">
        <v>7.82</v>
      </c>
      <c r="Z7" t="s">
        <v>21</v>
      </c>
      <c r="AA7">
        <v>7.82</v>
      </c>
    </row>
    <row r="8" spans="1:33" x14ac:dyDescent="0.25">
      <c r="H8" t="s">
        <v>22</v>
      </c>
      <c r="I8">
        <v>6.28</v>
      </c>
      <c r="Z8" t="s">
        <v>22</v>
      </c>
      <c r="AA8">
        <v>6.28</v>
      </c>
    </row>
    <row r="9" spans="1:33" x14ac:dyDescent="0.25">
      <c r="H9" t="s">
        <v>23</v>
      </c>
      <c r="I9">
        <v>4.62</v>
      </c>
      <c r="L9" t="s">
        <v>43</v>
      </c>
      <c r="M9">
        <f>((B12-B13)*F3)/(0.81*B3*F4)</f>
        <v>0</v>
      </c>
      <c r="O9">
        <f>B11</f>
        <v>9</v>
      </c>
      <c r="Z9" t="s">
        <v>23</v>
      </c>
      <c r="AA9">
        <v>4.62</v>
      </c>
      <c r="AD9" t="s">
        <v>43</v>
      </c>
      <c r="AE9">
        <f>((T12-T13)*X3)/(0.81*T3*X4)</f>
        <v>0</v>
      </c>
      <c r="AG9">
        <f>T11</f>
        <v>9</v>
      </c>
    </row>
    <row r="10" spans="1:33" x14ac:dyDescent="0.25">
      <c r="H10" t="s">
        <v>31</v>
      </c>
      <c r="I10">
        <v>3.08</v>
      </c>
      <c r="L10" t="s">
        <v>44</v>
      </c>
      <c r="M10">
        <f>B13/B12</f>
        <v>1</v>
      </c>
      <c r="N10" t="s">
        <v>45</v>
      </c>
      <c r="O10">
        <f>(0.0035/0.00196)*M10</f>
        <v>1.7857142857142858</v>
      </c>
      <c r="Z10" t="s">
        <v>31</v>
      </c>
      <c r="AA10">
        <v>3.08</v>
      </c>
      <c r="AD10" t="s">
        <v>44</v>
      </c>
      <c r="AE10">
        <f>T13/T12</f>
        <v>1</v>
      </c>
      <c r="AF10" t="s">
        <v>45</v>
      </c>
      <c r="AG10">
        <f>(0.0035/0.00196)*AE10</f>
        <v>1.7857142857142858</v>
      </c>
    </row>
    <row r="11" spans="1:33" x14ac:dyDescent="0.25">
      <c r="B11">
        <v>9</v>
      </c>
      <c r="C11" t="s">
        <v>46</v>
      </c>
      <c r="L11" t="s">
        <v>47</v>
      </c>
      <c r="M11">
        <f>(B12*F3)/(B3*B6*F4)</f>
        <v>0.23193042813455661</v>
      </c>
      <c r="T11">
        <v>9</v>
      </c>
      <c r="U11" t="s">
        <v>46</v>
      </c>
      <c r="AD11" t="s">
        <v>47</v>
      </c>
      <c r="AE11">
        <f>(T12*X3)/(T3*T6*X4)</f>
        <v>0.23193042813455661</v>
      </c>
    </row>
    <row r="12" spans="1:33" x14ac:dyDescent="0.25">
      <c r="A12" t="s">
        <v>48</v>
      </c>
      <c r="B12">
        <f>I12</f>
        <v>14.11</v>
      </c>
      <c r="C12">
        <f>B13</f>
        <v>14.11</v>
      </c>
      <c r="H12" t="s">
        <v>30</v>
      </c>
      <c r="I12">
        <v>14.11</v>
      </c>
      <c r="L12" t="s">
        <v>49</v>
      </c>
      <c r="M12">
        <f>(M11/(2*0.81))*((1-O10)+SQRT(((1-O10)^2)+((4*0.81*O10/M11)*B5/B6)))*B6</f>
        <v>6.1190000047016841</v>
      </c>
      <c r="S12" t="s">
        <v>48</v>
      </c>
      <c r="T12">
        <f>AA12</f>
        <v>14.11</v>
      </c>
      <c r="U12">
        <f>T13</f>
        <v>14.11</v>
      </c>
      <c r="Z12" t="s">
        <v>30</v>
      </c>
      <c r="AA12">
        <v>14.11</v>
      </c>
      <c r="AD12" t="s">
        <v>49</v>
      </c>
      <c r="AE12">
        <f>(AE11/(2*0.81))*((1-AG10)+SQRT(((1-AG10)^2)+((4*0.81*AG10/AE11)*T5/T6)))*T6</f>
        <v>6.1190000047016841</v>
      </c>
    </row>
    <row r="13" spans="1:33" x14ac:dyDescent="0.25">
      <c r="A13" t="s">
        <v>50</v>
      </c>
      <c r="B13">
        <f>I12</f>
        <v>14.11</v>
      </c>
      <c r="C13">
        <f>B12</f>
        <v>14.11</v>
      </c>
      <c r="S13" t="s">
        <v>50</v>
      </c>
      <c r="T13">
        <f>AA12</f>
        <v>14.11</v>
      </c>
      <c r="U13">
        <f>T12</f>
        <v>14.11</v>
      </c>
    </row>
    <row r="14" spans="1:33" x14ac:dyDescent="0.25">
      <c r="A14" t="s">
        <v>51</v>
      </c>
      <c r="B14">
        <f>M12</f>
        <v>6.1190000047016841</v>
      </c>
      <c r="C14">
        <f>M17</f>
        <v>6.1190000047016841</v>
      </c>
      <c r="L14" t="s">
        <v>43</v>
      </c>
      <c r="M14">
        <f>((C12-C13)*F3)/(0.81*B3*F4)</f>
        <v>0</v>
      </c>
      <c r="O14" t="str">
        <f>C11</f>
        <v>9'</v>
      </c>
      <c r="S14" t="s">
        <v>51</v>
      </c>
      <c r="T14">
        <f>AE12</f>
        <v>6.1190000047016841</v>
      </c>
      <c r="U14">
        <f>AE17</f>
        <v>6.1190000047016841</v>
      </c>
      <c r="AD14" t="s">
        <v>43</v>
      </c>
      <c r="AE14">
        <f>((U12-U13)*X3)/(0.81*T3*X4)</f>
        <v>0</v>
      </c>
      <c r="AG14" t="str">
        <f>U11</f>
        <v>9'</v>
      </c>
    </row>
    <row r="15" spans="1:33" x14ac:dyDescent="0.25">
      <c r="A15" t="s">
        <v>52</v>
      </c>
      <c r="B15">
        <f>(B14-B5)/B14*0.0035</f>
        <v>1.2120444534658022E-3</v>
      </c>
      <c r="C15">
        <f>(C14-B5)/C14*0.0035</f>
        <v>1.2120444534658022E-3</v>
      </c>
      <c r="L15" t="s">
        <v>44</v>
      </c>
      <c r="M15">
        <f>C13/C12</f>
        <v>1</v>
      </c>
      <c r="N15" t="s">
        <v>45</v>
      </c>
      <c r="O15">
        <f>(0.0035/0.00196)*M15</f>
        <v>1.7857142857142858</v>
      </c>
      <c r="S15" t="s">
        <v>52</v>
      </c>
      <c r="T15">
        <f>(T14-T5)/T14*0.0035</f>
        <v>1.2120444534658022E-3</v>
      </c>
      <c r="U15">
        <f>(U14-T5)/U14*0.0035</f>
        <v>1.2120444534658022E-3</v>
      </c>
      <c r="AD15" t="s">
        <v>44</v>
      </c>
      <c r="AE15">
        <f>U13/U12</f>
        <v>1</v>
      </c>
      <c r="AF15" t="s">
        <v>45</v>
      </c>
      <c r="AG15">
        <f>(0.0035/0.00196)*AE15</f>
        <v>1.7857142857142858</v>
      </c>
    </row>
    <row r="16" spans="1:33" x14ac:dyDescent="0.25">
      <c r="A16" t="s">
        <v>53</v>
      </c>
      <c r="B16">
        <f>B15*200000</f>
        <v>242.40889069316046</v>
      </c>
      <c r="C16">
        <f>C15*200000</f>
        <v>242.40889069316046</v>
      </c>
      <c r="L16" t="s">
        <v>47</v>
      </c>
      <c r="M16">
        <f>(C12*F3)/(B3*B6*F4)</f>
        <v>0.23193042813455661</v>
      </c>
      <c r="S16" t="s">
        <v>53</v>
      </c>
      <c r="T16">
        <f>T15*200000</f>
        <v>242.40889069316046</v>
      </c>
      <c r="U16">
        <f>U15*200000</f>
        <v>242.40889069316046</v>
      </c>
      <c r="AD16" t="s">
        <v>47</v>
      </c>
      <c r="AE16">
        <f>(U12*X3)/(T3*T6*X4)</f>
        <v>0.23193042813455661</v>
      </c>
    </row>
    <row r="17" spans="1:34" x14ac:dyDescent="0.25">
      <c r="A17" t="s">
        <v>54</v>
      </c>
      <c r="B17">
        <f>IF(ABS(B16)&gt;F3,F3*SIGN(B16),B16)</f>
        <v>242.40889069316046</v>
      </c>
      <c r="C17">
        <f>IF(ABS(C16)&gt;F3,F3*SIGN(C16),C16)</f>
        <v>242.40889069316046</v>
      </c>
      <c r="L17" t="s">
        <v>49</v>
      </c>
      <c r="M17">
        <f>(M16/(2*0.81))*((1-O15)+SQRT(((1-O15)^2)+((4*0.81*O15/M16)*B5/B6)))*B6</f>
        <v>6.1190000047016841</v>
      </c>
      <c r="S17" t="s">
        <v>54</v>
      </c>
      <c r="T17">
        <f>IF(ABS(T16)&gt;X3,X3*SIGN(T16),T16)</f>
        <v>242.40889069316046</v>
      </c>
      <c r="U17">
        <f>IF(ABS(U16)&gt;X3,X3*SIGN(U16),U16)</f>
        <v>242.40889069316046</v>
      </c>
      <c r="AD17" t="s">
        <v>49</v>
      </c>
      <c r="AE17">
        <f>(AE16/(2*0.81))*((1-AG15)+SQRT(((1-AG15)^2)+((4*0.81*AG15/AE16)*T5/T6)))*T6</f>
        <v>6.1190000047016841</v>
      </c>
    </row>
    <row r="18" spans="1:34" x14ac:dyDescent="0.25">
      <c r="A18" t="s">
        <v>55</v>
      </c>
      <c r="B18">
        <f>0.81*B3*B14*F4/10</f>
        <v>210.69613906189358</v>
      </c>
      <c r="C18">
        <f>0.81*B3*C14*F4/10</f>
        <v>210.69613906189358</v>
      </c>
      <c r="S18" t="s">
        <v>55</v>
      </c>
      <c r="T18">
        <f>0.81*T3*T14*X4/10</f>
        <v>210.69613906189358</v>
      </c>
      <c r="U18">
        <f>0.81*T3*U14*X4/10</f>
        <v>210.69613906189358</v>
      </c>
    </row>
    <row r="19" spans="1:34" x14ac:dyDescent="0.25">
      <c r="A19" t="s">
        <v>56</v>
      </c>
      <c r="B19">
        <f>B13*B17/10</f>
        <v>342.03894476804942</v>
      </c>
      <c r="C19">
        <f>C13*C17/10</f>
        <v>342.03894476804942</v>
      </c>
      <c r="S19" t="s">
        <v>56</v>
      </c>
      <c r="T19">
        <f>T13*T17/10</f>
        <v>342.03894476804942</v>
      </c>
      <c r="U19">
        <f>U13*U17/10</f>
        <v>342.03894476804942</v>
      </c>
    </row>
    <row r="20" spans="1:34" x14ac:dyDescent="0.25">
      <c r="A20" t="s">
        <v>57</v>
      </c>
      <c r="B20">
        <f>B12*F3/10</f>
        <v>552.12430000000006</v>
      </c>
      <c r="C20">
        <f>C12*F3/10</f>
        <v>552.12430000000006</v>
      </c>
      <c r="S20" t="s">
        <v>57</v>
      </c>
      <c r="T20">
        <f>T12*X3/10</f>
        <v>552.12430000000006</v>
      </c>
      <c r="U20">
        <f>U12*X3/10</f>
        <v>552.12430000000006</v>
      </c>
    </row>
    <row r="21" spans="1:34" x14ac:dyDescent="0.25">
      <c r="A21" t="s">
        <v>58</v>
      </c>
      <c r="B21">
        <f>B20-B19-B18</f>
        <v>-0.61078382994293179</v>
      </c>
      <c r="C21">
        <f>C20-C19-C18</f>
        <v>-0.61078382994293179</v>
      </c>
      <c r="S21" t="s">
        <v>58</v>
      </c>
      <c r="T21">
        <f>T20-T19-T18</f>
        <v>-0.61078382994293179</v>
      </c>
      <c r="U21">
        <f>U20-U19-U18</f>
        <v>-0.61078382994293179</v>
      </c>
    </row>
    <row r="22" spans="1:34" x14ac:dyDescent="0.25">
      <c r="A22" t="s">
        <v>59</v>
      </c>
      <c r="B22">
        <f>(B20*(B4-B5)-B19*B5-B18*0.416*B14)/100</f>
        <v>290.14477155749103</v>
      </c>
      <c r="C22">
        <f>-(C20*(B4-B5)-C19*B5-C18*0.416*C14)/100</f>
        <v>-290.14477155749103</v>
      </c>
      <c r="S22" t="s">
        <v>59</v>
      </c>
      <c r="T22">
        <f>(T20*(T4-T5)-T19*T5-T18*0.416*T14)/100</f>
        <v>290.14477155749103</v>
      </c>
      <c r="U22">
        <f>-(U20*(T4-T5)-U19*T5-U18*0.416*U14)/100</f>
        <v>-290.14477155749103</v>
      </c>
    </row>
    <row r="25" spans="1:34" x14ac:dyDescent="0.25">
      <c r="A25" t="s">
        <v>32</v>
      </c>
      <c r="C25">
        <v>2</v>
      </c>
      <c r="L25" s="4">
        <v>1</v>
      </c>
      <c r="M25" s="1">
        <v>5</v>
      </c>
      <c r="R25" t="s">
        <v>32</v>
      </c>
      <c r="T25">
        <v>2</v>
      </c>
      <c r="AC25" s="1">
        <v>1</v>
      </c>
      <c r="AD25" s="4">
        <v>5</v>
      </c>
      <c r="AH25" s="3"/>
    </row>
    <row r="26" spans="1:34" x14ac:dyDescent="0.25">
      <c r="J26" t="s">
        <v>33</v>
      </c>
      <c r="L26" s="5" t="s">
        <v>30</v>
      </c>
      <c r="M26" s="2" t="s">
        <v>30</v>
      </c>
      <c r="AA26" t="s">
        <v>33</v>
      </c>
      <c r="AC26" s="2" t="s">
        <v>30</v>
      </c>
      <c r="AD26" s="5" t="s">
        <v>30</v>
      </c>
    </row>
    <row r="27" spans="1:34" x14ac:dyDescent="0.25">
      <c r="A27" t="s">
        <v>34</v>
      </c>
      <c r="B27">
        <v>30</v>
      </c>
      <c r="C27" t="s">
        <v>35</v>
      </c>
      <c r="E27" t="s">
        <v>36</v>
      </c>
      <c r="F27">
        <v>391.3</v>
      </c>
      <c r="G27" t="s">
        <v>37</v>
      </c>
      <c r="I27" t="s">
        <v>38</v>
      </c>
      <c r="J27" t="s">
        <v>4</v>
      </c>
      <c r="L27" s="5" t="s">
        <v>18</v>
      </c>
      <c r="M27" s="2" t="s">
        <v>18</v>
      </c>
      <c r="R27" t="s">
        <v>34</v>
      </c>
      <c r="S27">
        <v>30</v>
      </c>
      <c r="T27" t="s">
        <v>35</v>
      </c>
      <c r="V27" t="s">
        <v>36</v>
      </c>
      <c r="W27">
        <v>391.3</v>
      </c>
      <c r="X27" t="s">
        <v>37</v>
      </c>
      <c r="Z27" t="s">
        <v>38</v>
      </c>
      <c r="AA27" t="s">
        <v>4</v>
      </c>
      <c r="AC27" s="2" t="s">
        <v>18</v>
      </c>
      <c r="AD27" s="5" t="s">
        <v>18</v>
      </c>
    </row>
    <row r="28" spans="1:34" x14ac:dyDescent="0.25">
      <c r="A28" t="s">
        <v>39</v>
      </c>
      <c r="B28">
        <v>60</v>
      </c>
      <c r="C28" t="s">
        <v>35</v>
      </c>
      <c r="E28" t="s">
        <v>40</v>
      </c>
      <c r="F28">
        <v>14.17</v>
      </c>
      <c r="G28" t="s">
        <v>37</v>
      </c>
      <c r="H28" t="s">
        <v>18</v>
      </c>
      <c r="I28">
        <v>12.5</v>
      </c>
      <c r="R28" t="s">
        <v>39</v>
      </c>
      <c r="S28">
        <v>60</v>
      </c>
      <c r="T28" t="s">
        <v>35</v>
      </c>
      <c r="V28" t="s">
        <v>40</v>
      </c>
      <c r="W28">
        <v>14.17</v>
      </c>
      <c r="X28" t="s">
        <v>37</v>
      </c>
      <c r="Y28" t="s">
        <v>18</v>
      </c>
      <c r="Z28">
        <v>12.5</v>
      </c>
    </row>
    <row r="29" spans="1:34" x14ac:dyDescent="0.25">
      <c r="A29" t="s">
        <v>41</v>
      </c>
      <c r="B29">
        <v>4</v>
      </c>
      <c r="C29" t="s">
        <v>35</v>
      </c>
      <c r="H29" t="s">
        <v>19</v>
      </c>
      <c r="I29">
        <v>10.96</v>
      </c>
      <c r="R29" t="s">
        <v>41</v>
      </c>
      <c r="S29">
        <v>4</v>
      </c>
      <c r="T29" t="s">
        <v>35</v>
      </c>
      <c r="Y29" t="s">
        <v>19</v>
      </c>
      <c r="Z29">
        <v>10.96</v>
      </c>
    </row>
    <row r="30" spans="1:34" x14ac:dyDescent="0.25">
      <c r="A30" t="s">
        <v>42</v>
      </c>
      <c r="B30">
        <f>B28-B29</f>
        <v>56</v>
      </c>
      <c r="C30" t="s">
        <v>35</v>
      </c>
      <c r="H30" t="s">
        <v>20</v>
      </c>
      <c r="I30">
        <v>9.36</v>
      </c>
      <c r="R30" t="s">
        <v>42</v>
      </c>
      <c r="S30">
        <f>S28-S29</f>
        <v>56</v>
      </c>
      <c r="T30" t="s">
        <v>35</v>
      </c>
      <c r="Y30" t="s">
        <v>20</v>
      </c>
      <c r="Z30">
        <v>9.36</v>
      </c>
    </row>
    <row r="31" spans="1:34" x14ac:dyDescent="0.25">
      <c r="H31" t="s">
        <v>21</v>
      </c>
      <c r="I31">
        <v>7.82</v>
      </c>
      <c r="Y31" t="s">
        <v>21</v>
      </c>
      <c r="Z31">
        <v>7.82</v>
      </c>
    </row>
    <row r="32" spans="1:34" x14ac:dyDescent="0.25">
      <c r="H32" t="s">
        <v>22</v>
      </c>
      <c r="I32">
        <v>6.28</v>
      </c>
      <c r="Y32" t="s">
        <v>22</v>
      </c>
      <c r="Z32">
        <v>6.28</v>
      </c>
    </row>
    <row r="33" spans="1:32" x14ac:dyDescent="0.25">
      <c r="H33" t="s">
        <v>23</v>
      </c>
      <c r="I33">
        <v>4.62</v>
      </c>
      <c r="L33" t="s">
        <v>43</v>
      </c>
      <c r="M33">
        <f>((B36-B37)*F27)/(0.81*B27*F28)</f>
        <v>-1.8296145278816016</v>
      </c>
      <c r="O33">
        <f>B35</f>
        <v>9</v>
      </c>
      <c r="Y33" t="s">
        <v>23</v>
      </c>
      <c r="Z33">
        <v>4.62</v>
      </c>
      <c r="AC33" t="s">
        <v>43</v>
      </c>
      <c r="AD33">
        <f>((S36-S37)*W27)/(0.81*S27*W28)</f>
        <v>-1.8296145278816016</v>
      </c>
      <c r="AF33">
        <f>S35</f>
        <v>9</v>
      </c>
    </row>
    <row r="34" spans="1:32" x14ac:dyDescent="0.25">
      <c r="H34" t="s">
        <v>31</v>
      </c>
      <c r="I34">
        <v>3.08</v>
      </c>
      <c r="L34" t="s">
        <v>44</v>
      </c>
      <c r="M34">
        <f>B37/B36</f>
        <v>1.1288</v>
      </c>
      <c r="N34" t="s">
        <v>45</v>
      </c>
      <c r="O34">
        <f>(0.0035/0.00196)*M34</f>
        <v>2.015714285714286</v>
      </c>
      <c r="Y34" t="s">
        <v>31</v>
      </c>
      <c r="Z34">
        <v>3.08</v>
      </c>
      <c r="AC34" t="s">
        <v>44</v>
      </c>
      <c r="AD34">
        <f>S37/S36</f>
        <v>1.1288</v>
      </c>
      <c r="AE34" t="s">
        <v>45</v>
      </c>
      <c r="AF34">
        <f>(0.0035/0.00196)*AD34</f>
        <v>2.015714285714286</v>
      </c>
    </row>
    <row r="35" spans="1:32" x14ac:dyDescent="0.25">
      <c r="B35">
        <v>9</v>
      </c>
      <c r="C35" t="s">
        <v>46</v>
      </c>
      <c r="L35" t="s">
        <v>47</v>
      </c>
      <c r="M35">
        <f>(B36*F27)/(B27*B30*F28)</f>
        <v>0.20546636085626913</v>
      </c>
      <c r="S35">
        <v>9</v>
      </c>
      <c r="T35" t="s">
        <v>46</v>
      </c>
      <c r="AC35" t="s">
        <v>47</v>
      </c>
      <c r="AD35">
        <f>(S36*W27)/(S27*S30*W28)</f>
        <v>0.20546636085626913</v>
      </c>
    </row>
    <row r="36" spans="1:32" x14ac:dyDescent="0.25">
      <c r="A36" t="s">
        <v>48</v>
      </c>
      <c r="B36">
        <f>I28</f>
        <v>12.5</v>
      </c>
      <c r="C36">
        <f>B37</f>
        <v>14.11</v>
      </c>
      <c r="H36" t="s">
        <v>30</v>
      </c>
      <c r="I36">
        <v>14.11</v>
      </c>
      <c r="L36" t="s">
        <v>49</v>
      </c>
      <c r="M36">
        <f>(M35/(2*0.81))*((1-O34)+SQRT(((1-O34)^2)+((4*0.81*O34/M35)*B29/B30)))*B30</f>
        <v>5.6923398265304366</v>
      </c>
      <c r="R36" t="s">
        <v>48</v>
      </c>
      <c r="S36">
        <f>Z28</f>
        <v>12.5</v>
      </c>
      <c r="T36">
        <f>S37</f>
        <v>14.11</v>
      </c>
      <c r="Y36" t="s">
        <v>30</v>
      </c>
      <c r="Z36">
        <v>14.11</v>
      </c>
      <c r="AC36" t="s">
        <v>49</v>
      </c>
      <c r="AD36">
        <f>(AD35/(2*0.81))*((1-AF34)+SQRT(((1-AF34)^2)+((4*0.81*AF34/AD35)*S29/S30)))*S30</f>
        <v>5.6923398265304366</v>
      </c>
    </row>
    <row r="37" spans="1:32" x14ac:dyDescent="0.25">
      <c r="A37" t="s">
        <v>50</v>
      </c>
      <c r="B37">
        <f>I36</f>
        <v>14.11</v>
      </c>
      <c r="C37">
        <f>B36</f>
        <v>12.5</v>
      </c>
      <c r="R37" t="s">
        <v>50</v>
      </c>
      <c r="S37">
        <f>Z36</f>
        <v>14.11</v>
      </c>
      <c r="T37">
        <f>S36</f>
        <v>12.5</v>
      </c>
    </row>
    <row r="38" spans="1:32" x14ac:dyDescent="0.25">
      <c r="A38" t="s">
        <v>51</v>
      </c>
      <c r="B38">
        <f>M36</f>
        <v>5.6923398265304366</v>
      </c>
      <c r="C38">
        <f>M41</f>
        <v>6.4353290774603007</v>
      </c>
      <c r="L38" t="s">
        <v>43</v>
      </c>
      <c r="M38">
        <f>((C36-C37)*F27)/(0.81*B27*F28)</f>
        <v>1.8296145278816016</v>
      </c>
      <c r="O38" t="str">
        <f>C35</f>
        <v>9'</v>
      </c>
      <c r="R38" t="s">
        <v>51</v>
      </c>
      <c r="S38">
        <f>AD36</f>
        <v>5.6923398265304366</v>
      </c>
      <c r="T38">
        <f>AD41</f>
        <v>6.4353290774603007</v>
      </c>
      <c r="AC38" t="s">
        <v>43</v>
      </c>
      <c r="AD38">
        <f>((T36-T37)*W27)/(0.81*S27*W28)</f>
        <v>1.8296145278816016</v>
      </c>
      <c r="AF38" t="str">
        <f>T35</f>
        <v>9'</v>
      </c>
    </row>
    <row r="39" spans="1:32" x14ac:dyDescent="0.25">
      <c r="A39" t="s">
        <v>52</v>
      </c>
      <c r="B39">
        <f>(B38-B29)/B38*0.0035</f>
        <v>1.0405544246058825E-3</v>
      </c>
      <c r="C39">
        <f>(C38-B29)/C38*0.0035</f>
        <v>1.3245090761504472E-3</v>
      </c>
      <c r="L39" t="s">
        <v>44</v>
      </c>
      <c r="M39">
        <f>C37/C36</f>
        <v>0.88589652728561308</v>
      </c>
      <c r="N39" t="s">
        <v>45</v>
      </c>
      <c r="O39">
        <f>(0.0035/0.00196)*M39</f>
        <v>1.5819580844385948</v>
      </c>
      <c r="R39" t="s">
        <v>52</v>
      </c>
      <c r="S39">
        <f>(S38-S29)/S38*0.0035</f>
        <v>1.0405544246058825E-3</v>
      </c>
      <c r="T39">
        <f>(T38-S29)/T38*0.0035</f>
        <v>1.3245090761504472E-3</v>
      </c>
      <c r="AC39" t="s">
        <v>44</v>
      </c>
      <c r="AD39">
        <f>T37/T36</f>
        <v>0.88589652728561308</v>
      </c>
      <c r="AE39" t="s">
        <v>45</v>
      </c>
      <c r="AF39">
        <f>(0.0035/0.00196)*AD39</f>
        <v>1.5819580844385948</v>
      </c>
    </row>
    <row r="40" spans="1:32" x14ac:dyDescent="0.25">
      <c r="A40" t="s">
        <v>53</v>
      </c>
      <c r="B40">
        <f>B39*200000</f>
        <v>208.11088492117651</v>
      </c>
      <c r="C40">
        <f>C39*200000</f>
        <v>264.90181523008943</v>
      </c>
      <c r="L40" t="s">
        <v>47</v>
      </c>
      <c r="M40">
        <f>(C36*F27)/(B27*B30*F28)</f>
        <v>0.23193042813455661</v>
      </c>
      <c r="R40" t="s">
        <v>53</v>
      </c>
      <c r="S40">
        <f>S39*200000</f>
        <v>208.11088492117651</v>
      </c>
      <c r="T40">
        <f>T39*200000</f>
        <v>264.90181523008943</v>
      </c>
      <c r="AC40" t="s">
        <v>47</v>
      </c>
      <c r="AD40">
        <f>(T36*W27)/(S27*S30*W28)</f>
        <v>0.23193042813455661</v>
      </c>
    </row>
    <row r="41" spans="1:32" x14ac:dyDescent="0.25">
      <c r="A41" t="s">
        <v>54</v>
      </c>
      <c r="B41">
        <f>IF(ABS(B40)&gt;F27,F27*SIGN(B40),B40)</f>
        <v>208.11088492117651</v>
      </c>
      <c r="C41">
        <f>IF(ABS(C40)&gt;F27,F27*SIGN(C40),C40)</f>
        <v>264.90181523008943</v>
      </c>
      <c r="L41" t="s">
        <v>49</v>
      </c>
      <c r="M41">
        <f>(M40/(2*0.81))*((1-O39)+SQRT(((1-O39)^2)+((4*0.81*O39/M40)*B29/B30)))*B30</f>
        <v>6.4353290774603007</v>
      </c>
      <c r="R41" t="s">
        <v>54</v>
      </c>
      <c r="S41">
        <f>IF(ABS(S40)&gt;W27,W27*SIGN(S40),S40)</f>
        <v>208.11088492117651</v>
      </c>
      <c r="T41">
        <f>IF(ABS(T40)&gt;W27,W27*SIGN(T40),T40)</f>
        <v>264.90181523008943</v>
      </c>
      <c r="AC41" t="s">
        <v>49</v>
      </c>
      <c r="AD41">
        <f>(AD40/(2*0.81))*((1-AF39)+SQRT(((1-AF39)^2)+((4*0.81*AF39/AD40)*S29/S30)))*S30</f>
        <v>6.4353290774603007</v>
      </c>
    </row>
    <row r="42" spans="1:32" x14ac:dyDescent="0.25">
      <c r="A42" t="s">
        <v>55</v>
      </c>
      <c r="B42">
        <f>0.81*B27*B38*F28/10</f>
        <v>196.00490648090516</v>
      </c>
      <c r="C42">
        <f>0.81*B27*C38*F28/10</f>
        <v>221.58832965709831</v>
      </c>
      <c r="R42" t="s">
        <v>55</v>
      </c>
      <c r="S42">
        <f>0.81*S27*S38*W28/10</f>
        <v>196.00490648090516</v>
      </c>
      <c r="T42">
        <f>0.81*S27*T38*W28/10</f>
        <v>221.58832965709831</v>
      </c>
    </row>
    <row r="43" spans="1:32" x14ac:dyDescent="0.25">
      <c r="A43" t="s">
        <v>56</v>
      </c>
      <c r="B43">
        <f>B37*B41/10</f>
        <v>293.64445862378</v>
      </c>
      <c r="C43">
        <f>C37*C41/10</f>
        <v>331.12726903761177</v>
      </c>
      <c r="R43" t="s">
        <v>56</v>
      </c>
      <c r="S43">
        <f>S37*S41/10</f>
        <v>293.64445862378</v>
      </c>
      <c r="T43">
        <f>T37*T41/10</f>
        <v>331.12726903761177</v>
      </c>
    </row>
    <row r="44" spans="1:32" x14ac:dyDescent="0.25">
      <c r="A44" t="s">
        <v>57</v>
      </c>
      <c r="B44">
        <f>B36*F27/10</f>
        <v>489.125</v>
      </c>
      <c r="C44">
        <f>C36*F27/10</f>
        <v>552.12430000000006</v>
      </c>
      <c r="R44" t="s">
        <v>57</v>
      </c>
      <c r="S44">
        <f>S36*W27/10</f>
        <v>489.125</v>
      </c>
      <c r="T44">
        <f>T36*W27/10</f>
        <v>552.12430000000006</v>
      </c>
    </row>
    <row r="45" spans="1:32" x14ac:dyDescent="0.25">
      <c r="A45" t="s">
        <v>58</v>
      </c>
      <c r="B45">
        <f>B44-B43-B42</f>
        <v>-0.52436510468515962</v>
      </c>
      <c r="C45">
        <f>C44-C43-C42</f>
        <v>-0.59129869471001939</v>
      </c>
      <c r="R45" t="s">
        <v>58</v>
      </c>
      <c r="S45">
        <f>S44-S43-S42</f>
        <v>-0.52436510468515962</v>
      </c>
      <c r="T45">
        <f>T44-T43-T42</f>
        <v>-0.59129869471001939</v>
      </c>
    </row>
    <row r="46" spans="1:32" x14ac:dyDescent="0.25">
      <c r="A46" t="s">
        <v>59</v>
      </c>
      <c r="B46">
        <f>(B44*(B28-B29)-B43*B29-B42*0.416*B38)/100</f>
        <v>257.52279926796518</v>
      </c>
      <c r="C46">
        <f>-(C44*(B28-B29)-C43*B29-C42*0.416*C38)/100</f>
        <v>-290.01238294285196</v>
      </c>
      <c r="R46" t="s">
        <v>59</v>
      </c>
      <c r="S46">
        <f>(S44*(S28-S29)-S43*S29-S42*0.416*S38)/100</f>
        <v>257.52279926796518</v>
      </c>
      <c r="T46">
        <f>-(T44*(S28-S29)-T43*S29-T42*0.416*T38)/100</f>
        <v>-290.01238294285196</v>
      </c>
    </row>
    <row r="49" spans="1:34" x14ac:dyDescent="0.25">
      <c r="A49" t="s">
        <v>32</v>
      </c>
      <c r="C49">
        <v>3</v>
      </c>
      <c r="L49" s="4">
        <v>1</v>
      </c>
      <c r="M49" s="1">
        <v>5</v>
      </c>
      <c r="R49" t="s">
        <v>32</v>
      </c>
      <c r="T49">
        <v>3</v>
      </c>
      <c r="AC49" s="1">
        <v>1</v>
      </c>
      <c r="AD49" s="4">
        <v>5</v>
      </c>
      <c r="AH49" s="3"/>
    </row>
    <row r="50" spans="1:34" x14ac:dyDescent="0.25">
      <c r="J50" t="s">
        <v>33</v>
      </c>
      <c r="L50" s="5" t="s">
        <v>19</v>
      </c>
      <c r="M50" s="2" t="s">
        <v>19</v>
      </c>
      <c r="AA50" t="s">
        <v>33</v>
      </c>
      <c r="AC50" s="2" t="s">
        <v>19</v>
      </c>
      <c r="AD50" s="5" t="s">
        <v>19</v>
      </c>
    </row>
    <row r="51" spans="1:34" x14ac:dyDescent="0.25">
      <c r="A51" t="s">
        <v>34</v>
      </c>
      <c r="B51">
        <v>30</v>
      </c>
      <c r="C51" t="s">
        <v>35</v>
      </c>
      <c r="E51" t="s">
        <v>36</v>
      </c>
      <c r="F51">
        <v>391.3</v>
      </c>
      <c r="G51" t="s">
        <v>37</v>
      </c>
      <c r="I51" t="s">
        <v>38</v>
      </c>
      <c r="J51" t="s">
        <v>4</v>
      </c>
      <c r="L51" s="5" t="s">
        <v>19</v>
      </c>
      <c r="M51" s="2" t="s">
        <v>19</v>
      </c>
      <c r="R51" t="s">
        <v>34</v>
      </c>
      <c r="S51">
        <v>30</v>
      </c>
      <c r="T51" t="s">
        <v>35</v>
      </c>
      <c r="V51" t="s">
        <v>36</v>
      </c>
      <c r="W51">
        <v>391.3</v>
      </c>
      <c r="X51" t="s">
        <v>37</v>
      </c>
      <c r="Z51" t="s">
        <v>38</v>
      </c>
      <c r="AA51" t="s">
        <v>4</v>
      </c>
      <c r="AC51" s="2" t="s">
        <v>19</v>
      </c>
      <c r="AD51" s="5" t="s">
        <v>19</v>
      </c>
    </row>
    <row r="52" spans="1:34" x14ac:dyDescent="0.25">
      <c r="A52" t="s">
        <v>39</v>
      </c>
      <c r="B52">
        <v>60</v>
      </c>
      <c r="C52" t="s">
        <v>35</v>
      </c>
      <c r="E52" t="s">
        <v>40</v>
      </c>
      <c r="F52">
        <v>14.17</v>
      </c>
      <c r="G52" t="s">
        <v>37</v>
      </c>
      <c r="H52" t="s">
        <v>18</v>
      </c>
      <c r="I52">
        <v>12.5</v>
      </c>
      <c r="R52" t="s">
        <v>39</v>
      </c>
      <c r="S52">
        <v>60</v>
      </c>
      <c r="T52" t="s">
        <v>35</v>
      </c>
      <c r="V52" t="s">
        <v>40</v>
      </c>
      <c r="W52">
        <v>14.17</v>
      </c>
      <c r="X52" t="s">
        <v>37</v>
      </c>
      <c r="Y52" t="s">
        <v>18</v>
      </c>
      <c r="Z52">
        <v>12.5</v>
      </c>
    </row>
    <row r="53" spans="1:34" x14ac:dyDescent="0.25">
      <c r="A53" t="s">
        <v>41</v>
      </c>
      <c r="B53">
        <v>4</v>
      </c>
      <c r="C53" t="s">
        <v>35</v>
      </c>
      <c r="H53" t="s">
        <v>19</v>
      </c>
      <c r="I53">
        <v>10.96</v>
      </c>
      <c r="R53" t="s">
        <v>41</v>
      </c>
      <c r="S53">
        <v>4</v>
      </c>
      <c r="T53" t="s">
        <v>35</v>
      </c>
      <c r="Y53" t="s">
        <v>19</v>
      </c>
      <c r="Z53">
        <v>10.96</v>
      </c>
    </row>
    <row r="54" spans="1:34" x14ac:dyDescent="0.25">
      <c r="A54" t="s">
        <v>42</v>
      </c>
      <c r="B54">
        <f>B52-B53</f>
        <v>56</v>
      </c>
      <c r="C54" t="s">
        <v>35</v>
      </c>
      <c r="H54" t="s">
        <v>20</v>
      </c>
      <c r="I54">
        <v>9.36</v>
      </c>
      <c r="R54" t="s">
        <v>42</v>
      </c>
      <c r="S54">
        <f>S52-S53</f>
        <v>56</v>
      </c>
      <c r="T54" t="s">
        <v>35</v>
      </c>
      <c r="Y54" t="s">
        <v>20</v>
      </c>
      <c r="Z54">
        <v>9.36</v>
      </c>
    </row>
    <row r="55" spans="1:34" x14ac:dyDescent="0.25">
      <c r="H55" t="s">
        <v>21</v>
      </c>
      <c r="I55">
        <v>7.82</v>
      </c>
      <c r="Y55" t="s">
        <v>21</v>
      </c>
      <c r="Z55">
        <v>7.82</v>
      </c>
    </row>
    <row r="56" spans="1:34" x14ac:dyDescent="0.25">
      <c r="H56" t="s">
        <v>22</v>
      </c>
      <c r="I56">
        <v>6.28</v>
      </c>
      <c r="Y56" t="s">
        <v>22</v>
      </c>
      <c r="Z56">
        <v>6.28</v>
      </c>
    </row>
    <row r="57" spans="1:34" x14ac:dyDescent="0.25">
      <c r="H57" t="s">
        <v>23</v>
      </c>
      <c r="I57">
        <v>4.62</v>
      </c>
      <c r="L57" t="s">
        <v>43</v>
      </c>
      <c r="M57">
        <f>((B60-B61)*F51)/(0.81*B51*F52)</f>
        <v>0</v>
      </c>
      <c r="O57">
        <f>B59</f>
        <v>9</v>
      </c>
      <c r="Y57" t="s">
        <v>23</v>
      </c>
      <c r="Z57">
        <v>4.62</v>
      </c>
      <c r="AC57" t="s">
        <v>43</v>
      </c>
      <c r="AD57">
        <f>((S60-S61)*W51)/(0.81*S51*W52)</f>
        <v>0</v>
      </c>
      <c r="AF57">
        <f>S59</f>
        <v>9</v>
      </c>
    </row>
    <row r="58" spans="1:34" x14ac:dyDescent="0.25">
      <c r="H58" t="s">
        <v>23</v>
      </c>
      <c r="I58">
        <v>3.08</v>
      </c>
      <c r="L58" t="s">
        <v>44</v>
      </c>
      <c r="M58">
        <f>B61/B60</f>
        <v>1</v>
      </c>
      <c r="N58" t="s">
        <v>45</v>
      </c>
      <c r="O58">
        <f>(0.0035/0.00196)*M58</f>
        <v>1.7857142857142858</v>
      </c>
      <c r="Y58" t="s">
        <v>23</v>
      </c>
      <c r="Z58">
        <v>3.08</v>
      </c>
      <c r="AC58" t="s">
        <v>44</v>
      </c>
      <c r="AD58">
        <f>S61/S60</f>
        <v>1</v>
      </c>
      <c r="AE58" t="s">
        <v>45</v>
      </c>
      <c r="AF58">
        <f>(0.0035/0.00196)*AD58</f>
        <v>1.7857142857142858</v>
      </c>
    </row>
    <row r="59" spans="1:34" x14ac:dyDescent="0.25">
      <c r="B59">
        <v>9</v>
      </c>
      <c r="C59" t="s">
        <v>46</v>
      </c>
      <c r="L59" t="s">
        <v>47</v>
      </c>
      <c r="M59">
        <f>(B60*F51)/(B51*B54*F52)</f>
        <v>0.18015290519877677</v>
      </c>
      <c r="S59">
        <v>9</v>
      </c>
      <c r="T59" t="s">
        <v>46</v>
      </c>
      <c r="AC59" t="s">
        <v>47</v>
      </c>
      <c r="AD59">
        <f>(S60*W51)/(S51*S54*W52)</f>
        <v>0.18015290519877677</v>
      </c>
    </row>
    <row r="60" spans="1:34" x14ac:dyDescent="0.25">
      <c r="A60" t="s">
        <v>48</v>
      </c>
      <c r="B60">
        <f>I53</f>
        <v>10.96</v>
      </c>
      <c r="C60">
        <f>B61</f>
        <v>10.96</v>
      </c>
      <c r="L60" t="s">
        <v>49</v>
      </c>
      <c r="M60">
        <f>(M59/(2*0.81))*((1-O58)+SQRT(((1-O58)^2)+((4*0.81*O58/M59)*B53/B54)))*B54</f>
        <v>5.7326936986665773</v>
      </c>
      <c r="R60" t="s">
        <v>48</v>
      </c>
      <c r="S60">
        <f>Z53</f>
        <v>10.96</v>
      </c>
      <c r="T60">
        <f>S61</f>
        <v>10.96</v>
      </c>
      <c r="AC60" t="s">
        <v>49</v>
      </c>
      <c r="AD60">
        <f>(AD59/(2*0.81))*((1-AF58)+SQRT(((1-AF58)^2)+((4*0.81*AF58/AD59)*S53/S54)))*S54</f>
        <v>5.7326936986665773</v>
      </c>
    </row>
    <row r="61" spans="1:34" x14ac:dyDescent="0.25">
      <c r="A61" t="s">
        <v>50</v>
      </c>
      <c r="B61">
        <f>I53</f>
        <v>10.96</v>
      </c>
      <c r="C61">
        <f>B60</f>
        <v>10.96</v>
      </c>
      <c r="R61" t="s">
        <v>50</v>
      </c>
      <c r="S61">
        <f>Z53</f>
        <v>10.96</v>
      </c>
      <c r="T61">
        <f>S60</f>
        <v>10.96</v>
      </c>
    </row>
    <row r="62" spans="1:34" x14ac:dyDescent="0.25">
      <c r="A62" t="s">
        <v>51</v>
      </c>
      <c r="B62">
        <f>M60</f>
        <v>5.7326936986665773</v>
      </c>
      <c r="C62">
        <f>M65</f>
        <v>5.7326936986665773</v>
      </c>
      <c r="L62" t="s">
        <v>43</v>
      </c>
      <c r="M62">
        <f>((C60-C61)*F51)/(0.81*B51*F52)</f>
        <v>0</v>
      </c>
      <c r="O62" t="str">
        <f>C59</f>
        <v>9'</v>
      </c>
      <c r="R62" t="s">
        <v>51</v>
      </c>
      <c r="S62">
        <f>AD60</f>
        <v>5.7326936986665773</v>
      </c>
      <c r="T62">
        <f>AD65</f>
        <v>5.7326936986665773</v>
      </c>
      <c r="AC62" t="s">
        <v>43</v>
      </c>
      <c r="AD62">
        <f>((T60-T61)*W51)/(0.81*S51*W52)</f>
        <v>0</v>
      </c>
      <c r="AF62" t="str">
        <f>T59</f>
        <v>9'</v>
      </c>
    </row>
    <row r="63" spans="1:34" x14ac:dyDescent="0.25">
      <c r="A63" t="s">
        <v>52</v>
      </c>
      <c r="B63">
        <f>(B62-B53)/B62*0.0035</f>
        <v>1.0578670803122806E-3</v>
      </c>
      <c r="C63">
        <f>(C62-B53)/C62*0.0035</f>
        <v>1.0578670803122806E-3</v>
      </c>
      <c r="L63" t="s">
        <v>44</v>
      </c>
      <c r="M63">
        <f>C61/C60</f>
        <v>1</v>
      </c>
      <c r="N63" t="s">
        <v>45</v>
      </c>
      <c r="O63">
        <f>(0.0035/0.00196)*M63</f>
        <v>1.7857142857142858</v>
      </c>
      <c r="R63" t="s">
        <v>52</v>
      </c>
      <c r="S63">
        <f>(S62-S53)/S62*0.0035</f>
        <v>1.0578670803122806E-3</v>
      </c>
      <c r="T63">
        <f>(T62-S53)/T62*0.0035</f>
        <v>1.0578670803122806E-3</v>
      </c>
      <c r="AC63" t="s">
        <v>44</v>
      </c>
      <c r="AD63">
        <f>T61/T60</f>
        <v>1</v>
      </c>
      <c r="AE63" t="s">
        <v>45</v>
      </c>
      <c r="AF63">
        <f>(0.0035/0.00196)*AD63</f>
        <v>1.7857142857142858</v>
      </c>
    </row>
    <row r="64" spans="1:34" x14ac:dyDescent="0.25">
      <c r="A64" t="s">
        <v>53</v>
      </c>
      <c r="B64">
        <f>B63*200000</f>
        <v>211.57341606245612</v>
      </c>
      <c r="C64">
        <f>C63*200000</f>
        <v>211.57341606245612</v>
      </c>
      <c r="L64" t="s">
        <v>47</v>
      </c>
      <c r="M64">
        <f>(C60*F51)/(B51*B54*F52)</f>
        <v>0.18015290519877677</v>
      </c>
      <c r="R64" t="s">
        <v>53</v>
      </c>
      <c r="S64">
        <f>S63*200000</f>
        <v>211.57341606245612</v>
      </c>
      <c r="T64">
        <f>T63*200000</f>
        <v>211.57341606245612</v>
      </c>
      <c r="AC64" t="s">
        <v>47</v>
      </c>
      <c r="AD64">
        <f>(T60*W51)/(S51*S54*W52)</f>
        <v>0.18015290519877677</v>
      </c>
    </row>
    <row r="65" spans="1:34" x14ac:dyDescent="0.25">
      <c r="A65" t="s">
        <v>54</v>
      </c>
      <c r="B65">
        <f>IF(ABS(B64)&gt;F51,F51*SIGN(B64),B64)</f>
        <v>211.57341606245612</v>
      </c>
      <c r="C65">
        <f>IF(ABS(C64)&gt;F51,F51*SIGN(C64),C64)</f>
        <v>211.57341606245612</v>
      </c>
      <c r="L65" t="s">
        <v>49</v>
      </c>
      <c r="M65">
        <f>(M64/(2*0.81))*((1-O63)+SQRT(((1-O63)^2)+((4*0.81*O63/M64)*B53/B54)))*B54</f>
        <v>5.7326936986665773</v>
      </c>
      <c r="R65" t="s">
        <v>54</v>
      </c>
      <c r="S65">
        <f>IF(ABS(S64)&gt;W51,W51*SIGN(S64),S64)</f>
        <v>211.57341606245612</v>
      </c>
      <c r="T65">
        <f>IF(ABS(T64)&gt;W51,W51*SIGN(T64),T64)</f>
        <v>211.57341606245612</v>
      </c>
      <c r="AC65" t="s">
        <v>49</v>
      </c>
      <c r="AD65">
        <f>(AD64/(2*0.81))*((1-AF63)+SQRT(((1-AF63)^2)+((4*0.81*AF63/AD64)*S53/S54)))*S54</f>
        <v>5.7326936986665773</v>
      </c>
    </row>
    <row r="66" spans="1:34" x14ac:dyDescent="0.25">
      <c r="A66" t="s">
        <v>55</v>
      </c>
      <c r="B66">
        <f>0.81*B51*B62*F52/10</f>
        <v>197.39441539555611</v>
      </c>
      <c r="C66">
        <f>0.81*B51*C62*F52/10</f>
        <v>197.39441539555611</v>
      </c>
      <c r="R66" t="s">
        <v>55</v>
      </c>
      <c r="S66">
        <f>0.81*S51*S62*W52/10</f>
        <v>197.39441539555611</v>
      </c>
      <c r="T66">
        <f>0.81*S51*T62*W52/10</f>
        <v>197.39441539555611</v>
      </c>
    </row>
    <row r="67" spans="1:34" x14ac:dyDescent="0.25">
      <c r="A67" t="s">
        <v>56</v>
      </c>
      <c r="B67">
        <f>B61*B65/10</f>
        <v>231.8844640044519</v>
      </c>
      <c r="C67">
        <f>C61*C65/10</f>
        <v>231.8844640044519</v>
      </c>
      <c r="R67" t="s">
        <v>56</v>
      </c>
      <c r="S67">
        <f>S61*S65/10</f>
        <v>231.8844640044519</v>
      </c>
      <c r="T67">
        <f>T61*T65/10</f>
        <v>231.8844640044519</v>
      </c>
    </row>
    <row r="68" spans="1:34" x14ac:dyDescent="0.25">
      <c r="A68" t="s">
        <v>57</v>
      </c>
      <c r="B68">
        <f>B60*F51/10</f>
        <v>428.8648</v>
      </c>
      <c r="C68">
        <f>C60*F51/10</f>
        <v>428.8648</v>
      </c>
      <c r="R68" t="s">
        <v>57</v>
      </c>
      <c r="S68">
        <f>S60*W51/10</f>
        <v>428.8648</v>
      </c>
      <c r="T68">
        <f>T60*W51/10</f>
        <v>428.8648</v>
      </c>
    </row>
    <row r="69" spans="1:34" x14ac:dyDescent="0.25">
      <c r="A69" t="s">
        <v>58</v>
      </c>
      <c r="B69">
        <f>B68-B67-B66</f>
        <v>-0.41407940000800636</v>
      </c>
      <c r="C69">
        <f>C68-C67-C66</f>
        <v>-0.41407940000800636</v>
      </c>
      <c r="R69" t="s">
        <v>58</v>
      </c>
      <c r="S69">
        <f>S68-S67-S66</f>
        <v>-0.41407940000800636</v>
      </c>
      <c r="T69">
        <f>T68-T67-T66</f>
        <v>-0.41407940000800636</v>
      </c>
    </row>
    <row r="70" spans="1:34" x14ac:dyDescent="0.25">
      <c r="A70" t="s">
        <v>59</v>
      </c>
      <c r="B70">
        <f>(B68*(B52-B53)-B67*B53-B66*0.416*B62)/100</f>
        <v>226.18144627925523</v>
      </c>
      <c r="C70">
        <f>-(C68*(B52-B53)-C67*B53-C66*0.416*C62)/100</f>
        <v>-226.18144627925523</v>
      </c>
      <c r="R70" t="s">
        <v>59</v>
      </c>
      <c r="S70">
        <f>(S68*(S52-S53)-S67*S53-S66*0.416*S62)/100</f>
        <v>226.18144627925523</v>
      </c>
      <c r="T70">
        <f>-(T68*(S52-S53)-T67*S53-T66*0.416*T62)/100</f>
        <v>-226.18144627925523</v>
      </c>
    </row>
    <row r="73" spans="1:34" x14ac:dyDescent="0.25">
      <c r="A73" t="s">
        <v>32</v>
      </c>
      <c r="C73">
        <v>4</v>
      </c>
      <c r="L73" s="1">
        <v>1</v>
      </c>
      <c r="M73" s="1">
        <v>5</v>
      </c>
      <c r="R73" t="s">
        <v>32</v>
      </c>
      <c r="T73">
        <v>4</v>
      </c>
      <c r="AC73" s="1">
        <v>1</v>
      </c>
      <c r="AD73" s="1">
        <v>5</v>
      </c>
      <c r="AH73" s="3"/>
    </row>
    <row r="74" spans="1:34" x14ac:dyDescent="0.25">
      <c r="J74" t="s">
        <v>33</v>
      </c>
      <c r="L74" s="2" t="s">
        <v>20</v>
      </c>
      <c r="M74" s="2" t="s">
        <v>20</v>
      </c>
      <c r="AA74" t="s">
        <v>33</v>
      </c>
      <c r="AC74" s="2" t="s">
        <v>20</v>
      </c>
      <c r="AD74" s="2" t="s">
        <v>20</v>
      </c>
    </row>
    <row r="75" spans="1:34" x14ac:dyDescent="0.25">
      <c r="A75" t="s">
        <v>34</v>
      </c>
      <c r="B75">
        <v>30</v>
      </c>
      <c r="C75" t="s">
        <v>35</v>
      </c>
      <c r="E75" t="s">
        <v>36</v>
      </c>
      <c r="F75">
        <v>391.3</v>
      </c>
      <c r="G75" t="s">
        <v>37</v>
      </c>
      <c r="I75" t="s">
        <v>38</v>
      </c>
      <c r="J75" t="s">
        <v>4</v>
      </c>
      <c r="L75" s="2" t="s">
        <v>21</v>
      </c>
      <c r="M75" s="2" t="s">
        <v>21</v>
      </c>
      <c r="R75" t="s">
        <v>34</v>
      </c>
      <c r="S75">
        <v>30</v>
      </c>
      <c r="T75" t="s">
        <v>35</v>
      </c>
      <c r="V75" t="s">
        <v>36</v>
      </c>
      <c r="W75">
        <v>391.3</v>
      </c>
      <c r="X75" t="s">
        <v>37</v>
      </c>
      <c r="Z75" t="s">
        <v>38</v>
      </c>
      <c r="AA75" t="s">
        <v>4</v>
      </c>
      <c r="AC75" s="2" t="s">
        <v>21</v>
      </c>
      <c r="AD75" s="2" t="s">
        <v>21</v>
      </c>
    </row>
    <row r="76" spans="1:34" x14ac:dyDescent="0.25">
      <c r="A76" t="s">
        <v>39</v>
      </c>
      <c r="B76">
        <v>60</v>
      </c>
      <c r="C76" t="s">
        <v>35</v>
      </c>
      <c r="E76" t="s">
        <v>40</v>
      </c>
      <c r="F76">
        <v>14.17</v>
      </c>
      <c r="G76" t="s">
        <v>37</v>
      </c>
      <c r="H76" t="s">
        <v>18</v>
      </c>
      <c r="I76">
        <v>12.5</v>
      </c>
      <c r="R76" t="s">
        <v>39</v>
      </c>
      <c r="S76">
        <v>60</v>
      </c>
      <c r="T76" t="s">
        <v>35</v>
      </c>
      <c r="V76" t="s">
        <v>40</v>
      </c>
      <c r="W76">
        <v>14.17</v>
      </c>
      <c r="X76" t="s">
        <v>37</v>
      </c>
      <c r="Y76" t="s">
        <v>18</v>
      </c>
      <c r="Z76">
        <v>12.5</v>
      </c>
    </row>
    <row r="77" spans="1:34" x14ac:dyDescent="0.25">
      <c r="A77" t="s">
        <v>41</v>
      </c>
      <c r="B77">
        <v>4</v>
      </c>
      <c r="C77" t="s">
        <v>35</v>
      </c>
      <c r="H77" t="s">
        <v>19</v>
      </c>
      <c r="I77">
        <v>10.96</v>
      </c>
      <c r="R77" t="s">
        <v>41</v>
      </c>
      <c r="S77">
        <v>4</v>
      </c>
      <c r="T77" t="s">
        <v>35</v>
      </c>
      <c r="Y77" t="s">
        <v>19</v>
      </c>
      <c r="Z77">
        <v>10.96</v>
      </c>
    </row>
    <row r="78" spans="1:34" x14ac:dyDescent="0.25">
      <c r="A78" t="s">
        <v>42</v>
      </c>
      <c r="B78">
        <f>B76-B77</f>
        <v>56</v>
      </c>
      <c r="C78" t="s">
        <v>35</v>
      </c>
      <c r="H78" t="s">
        <v>20</v>
      </c>
      <c r="I78">
        <v>9.36</v>
      </c>
      <c r="R78" t="s">
        <v>42</v>
      </c>
      <c r="S78">
        <f>S76-S77</f>
        <v>56</v>
      </c>
      <c r="T78" t="s">
        <v>35</v>
      </c>
      <c r="Y78" t="s">
        <v>20</v>
      </c>
      <c r="Z78">
        <v>9.36</v>
      </c>
    </row>
    <row r="79" spans="1:34" x14ac:dyDescent="0.25">
      <c r="H79" t="s">
        <v>21</v>
      </c>
      <c r="I79">
        <v>7.82</v>
      </c>
      <c r="Y79" t="s">
        <v>21</v>
      </c>
      <c r="Z79">
        <v>7.82</v>
      </c>
    </row>
    <row r="80" spans="1:34" x14ac:dyDescent="0.25">
      <c r="H80" t="s">
        <v>22</v>
      </c>
      <c r="I80">
        <v>6.28</v>
      </c>
      <c r="Y80" t="s">
        <v>22</v>
      </c>
      <c r="Z80">
        <v>6.28</v>
      </c>
    </row>
    <row r="81" spans="1:34" x14ac:dyDescent="0.25">
      <c r="H81" t="s">
        <v>23</v>
      </c>
      <c r="I81">
        <v>4.62</v>
      </c>
      <c r="L81" t="s">
        <v>43</v>
      </c>
      <c r="M81">
        <f>((B84-B85)*F75)/(0.81*B75*F76)</f>
        <v>-1.7500660701476185</v>
      </c>
      <c r="O81">
        <f>B83</f>
        <v>9</v>
      </c>
      <c r="Y81" t="s">
        <v>23</v>
      </c>
      <c r="Z81">
        <v>4.62</v>
      </c>
      <c r="AC81" t="s">
        <v>43</v>
      </c>
      <c r="AD81">
        <f>((S84-S85)*W75)/(0.81*S75*W76)</f>
        <v>-1.7500660701476185</v>
      </c>
      <c r="AF81">
        <f>S83</f>
        <v>9</v>
      </c>
    </row>
    <row r="82" spans="1:34" x14ac:dyDescent="0.25">
      <c r="H82" t="s">
        <v>23</v>
      </c>
      <c r="I82">
        <v>3.08</v>
      </c>
      <c r="L82" t="s">
        <v>44</v>
      </c>
      <c r="M82">
        <f>B85/B84</f>
        <v>1.19693094629156</v>
      </c>
      <c r="N82" t="s">
        <v>45</v>
      </c>
      <c r="O82">
        <f>(0.0035/0.00196)*M82</f>
        <v>2.1373766898063575</v>
      </c>
      <c r="Y82" t="s">
        <v>23</v>
      </c>
      <c r="Z82">
        <v>3.08</v>
      </c>
      <c r="AC82" t="s">
        <v>44</v>
      </c>
      <c r="AD82">
        <f>S85/S84</f>
        <v>1.19693094629156</v>
      </c>
      <c r="AE82" t="s">
        <v>45</v>
      </c>
      <c r="AF82">
        <f>(0.0035/0.00196)*AD82</f>
        <v>2.1373766898063575</v>
      </c>
    </row>
    <row r="83" spans="1:34" x14ac:dyDescent="0.25">
      <c r="B83">
        <v>9</v>
      </c>
      <c r="C83" t="s">
        <v>46</v>
      </c>
      <c r="L83" t="s">
        <v>47</v>
      </c>
      <c r="M83">
        <f>(B84*F75)/(B75*B78*F76)</f>
        <v>0.12853975535168197</v>
      </c>
      <c r="S83">
        <v>9</v>
      </c>
      <c r="T83" t="s">
        <v>46</v>
      </c>
      <c r="AC83" t="s">
        <v>47</v>
      </c>
      <c r="AD83">
        <f>(S84*W75)/(S75*S78*W76)</f>
        <v>0.12853975535168197</v>
      </c>
    </row>
    <row r="84" spans="1:34" x14ac:dyDescent="0.25">
      <c r="A84" t="s">
        <v>48</v>
      </c>
      <c r="B84">
        <f>I79</f>
        <v>7.82</v>
      </c>
      <c r="C84">
        <f>B85</f>
        <v>9.36</v>
      </c>
      <c r="L84" t="s">
        <v>49</v>
      </c>
      <c r="M84">
        <f>(M83/(2*0.81))*((1-O82)+SQRT(((1-O82)^2)+((4*0.81*O82/M83)*B77/B78)))*B78</f>
        <v>5.0218224713176447</v>
      </c>
      <c r="R84" t="s">
        <v>48</v>
      </c>
      <c r="S84">
        <f>Z79</f>
        <v>7.82</v>
      </c>
      <c r="T84">
        <f>S85</f>
        <v>9.36</v>
      </c>
      <c r="AC84" t="s">
        <v>49</v>
      </c>
      <c r="AD84">
        <f>(AD83/(2*0.81))*((1-AF82)+SQRT(((1-AF82)^2)+((4*0.81*AF82/AD83)*S77/S78)))*S78</f>
        <v>5.0218224713176447</v>
      </c>
    </row>
    <row r="85" spans="1:34" x14ac:dyDescent="0.25">
      <c r="A85" t="s">
        <v>50</v>
      </c>
      <c r="B85">
        <f>I78</f>
        <v>9.36</v>
      </c>
      <c r="C85">
        <f>B84</f>
        <v>7.82</v>
      </c>
      <c r="R85" t="s">
        <v>50</v>
      </c>
      <c r="S85">
        <f>Z78</f>
        <v>9.36</v>
      </c>
      <c r="T85">
        <f>S84</f>
        <v>7.82</v>
      </c>
    </row>
    <row r="86" spans="1:34" x14ac:dyDescent="0.25">
      <c r="A86" t="s">
        <v>51</v>
      </c>
      <c r="B86">
        <f>M84</f>
        <v>5.0218224713176447</v>
      </c>
      <c r="C86">
        <f>M89</f>
        <v>5.7695777660037777</v>
      </c>
      <c r="L86" t="s">
        <v>43</v>
      </c>
      <c r="M86">
        <f>((C84-C85)*F75)/(0.81*B75*F76)</f>
        <v>1.7500660701476185</v>
      </c>
      <c r="O86" t="str">
        <f>C83</f>
        <v>9'</v>
      </c>
      <c r="R86" t="s">
        <v>51</v>
      </c>
      <c r="S86">
        <f>AD84</f>
        <v>5.0218224713176447</v>
      </c>
      <c r="T86">
        <f>AD89</f>
        <v>5.7695777660037777</v>
      </c>
      <c r="AC86" t="s">
        <v>43</v>
      </c>
      <c r="AD86">
        <f>((T84-T85)*W75)/(0.81*S75*W76)</f>
        <v>1.7500660701476185</v>
      </c>
      <c r="AF86" t="str">
        <f>T83</f>
        <v>9'</v>
      </c>
    </row>
    <row r="87" spans="1:34" x14ac:dyDescent="0.25">
      <c r="A87" t="s">
        <v>52</v>
      </c>
      <c r="B87">
        <f>(B86-B77)/B86*0.0035</f>
        <v>7.1216747904538592E-4</v>
      </c>
      <c r="C87">
        <f>(C86-B77)/C86*0.0035</f>
        <v>1.0734792791090297E-3</v>
      </c>
      <c r="L87" t="s">
        <v>44</v>
      </c>
      <c r="M87">
        <f>C85/C84</f>
        <v>0.8354700854700855</v>
      </c>
      <c r="N87" t="s">
        <v>45</v>
      </c>
      <c r="O87">
        <f>(0.0035/0.00196)*M87</f>
        <v>1.4919108669108669</v>
      </c>
      <c r="R87" t="s">
        <v>52</v>
      </c>
      <c r="S87">
        <f>(S86-S77)/S86*0.0035</f>
        <v>7.1216747904538592E-4</v>
      </c>
      <c r="T87">
        <f>(T86-S77)/T86*0.0035</f>
        <v>1.0734792791090297E-3</v>
      </c>
      <c r="AC87" t="s">
        <v>44</v>
      </c>
      <c r="AD87">
        <f>T85/T84</f>
        <v>0.8354700854700855</v>
      </c>
      <c r="AE87" t="s">
        <v>45</v>
      </c>
      <c r="AF87">
        <f>(0.0035/0.00196)*AD87</f>
        <v>1.4919108669108669</v>
      </c>
    </row>
    <row r="88" spans="1:34" x14ac:dyDescent="0.25">
      <c r="A88" t="s">
        <v>53</v>
      </c>
      <c r="B88">
        <f>B87*200000</f>
        <v>142.43349580907719</v>
      </c>
      <c r="C88">
        <f>C87*200000</f>
        <v>214.69585582180594</v>
      </c>
      <c r="L88" t="s">
        <v>47</v>
      </c>
      <c r="M88">
        <f>(C84*F75)/(B75*B78*F76)</f>
        <v>0.15385321100917432</v>
      </c>
      <c r="R88" t="s">
        <v>53</v>
      </c>
      <c r="S88">
        <f>S87*200000</f>
        <v>142.43349580907719</v>
      </c>
      <c r="T88">
        <f>T87*200000</f>
        <v>214.69585582180594</v>
      </c>
      <c r="AC88" t="s">
        <v>47</v>
      </c>
      <c r="AD88">
        <f>(T84*W75)/(S75*S78*W76)</f>
        <v>0.15385321100917432</v>
      </c>
    </row>
    <row r="89" spans="1:34" x14ac:dyDescent="0.25">
      <c r="A89" t="s">
        <v>54</v>
      </c>
      <c r="B89">
        <f>IF(ABS(B88)&gt;F75,F75*SIGN(B88),B88)</f>
        <v>142.43349580907719</v>
      </c>
      <c r="C89">
        <f>IF(ABS(C88)&gt;F75,F75*SIGN(C88),C88)</f>
        <v>214.69585582180594</v>
      </c>
      <c r="L89" t="s">
        <v>49</v>
      </c>
      <c r="M89">
        <f>(M88/(2*0.81))*((1-O87)+SQRT(((1-O87)^2)+((4*0.81*O87/M88)*B77/B78)))*B78</f>
        <v>5.7695777660037777</v>
      </c>
      <c r="R89" t="s">
        <v>54</v>
      </c>
      <c r="S89">
        <f>IF(ABS(S88)&gt;W75,W75*SIGN(S88),S88)</f>
        <v>142.43349580907719</v>
      </c>
      <c r="T89">
        <f>IF(ABS(T88)&gt;W75,W75*SIGN(T88),T88)</f>
        <v>214.69585582180594</v>
      </c>
      <c r="AC89" t="s">
        <v>49</v>
      </c>
      <c r="AD89">
        <f>(AD88/(2*0.81))*((1-AF87)+SQRT(((1-AF87)^2)+((4*0.81*AF87/AD88)*S77/S78)))*S78</f>
        <v>5.7695777660037777</v>
      </c>
    </row>
    <row r="90" spans="1:34" x14ac:dyDescent="0.25">
      <c r="A90" t="s">
        <v>55</v>
      </c>
      <c r="B90">
        <f>0.81*B75*B86*F76/10</f>
        <v>172.91691533712759</v>
      </c>
      <c r="C90">
        <f>0.81*B75*C86*F76/10</f>
        <v>198.66444817458469</v>
      </c>
      <c r="R90" t="s">
        <v>55</v>
      </c>
      <c r="S90">
        <f>0.81*S75*S86*W76/10</f>
        <v>172.91691533712759</v>
      </c>
      <c r="T90">
        <f>0.81*S75*T86*W76/10</f>
        <v>198.66444817458469</v>
      </c>
    </row>
    <row r="91" spans="1:34" x14ac:dyDescent="0.25">
      <c r="A91" t="s">
        <v>56</v>
      </c>
      <c r="B91">
        <f>B85*B89/10</f>
        <v>133.31775207729623</v>
      </c>
      <c r="C91">
        <f>C85*C89/10</f>
        <v>167.89215925265225</v>
      </c>
      <c r="R91" t="s">
        <v>56</v>
      </c>
      <c r="S91">
        <f>S85*S89/10</f>
        <v>133.31775207729623</v>
      </c>
      <c r="T91">
        <f>T85*T89/10</f>
        <v>167.89215925265225</v>
      </c>
    </row>
    <row r="92" spans="1:34" x14ac:dyDescent="0.25">
      <c r="A92" t="s">
        <v>57</v>
      </c>
      <c r="B92">
        <f>B84*F75/10</f>
        <v>305.99660000000006</v>
      </c>
      <c r="C92">
        <f>C84*F75/10</f>
        <v>366.2568</v>
      </c>
      <c r="R92" t="s">
        <v>57</v>
      </c>
      <c r="S92">
        <f>S84*W75/10</f>
        <v>305.99660000000006</v>
      </c>
      <c r="T92">
        <f>T84*W75/10</f>
        <v>366.2568</v>
      </c>
    </row>
    <row r="93" spans="1:34" x14ac:dyDescent="0.25">
      <c r="A93" t="s">
        <v>58</v>
      </c>
      <c r="B93">
        <f>B92-B91-B90</f>
        <v>-0.23806741442376733</v>
      </c>
      <c r="C93">
        <f>C92-C91-C90</f>
        <v>-0.2998074272369422</v>
      </c>
      <c r="R93" t="s">
        <v>58</v>
      </c>
      <c r="S93">
        <f>S92-S91-S90</f>
        <v>-0.23806741442376733</v>
      </c>
      <c r="T93">
        <f>T92-T91-T90</f>
        <v>-0.2998074272369422</v>
      </c>
    </row>
    <row r="94" spans="1:34" x14ac:dyDescent="0.25">
      <c r="A94" t="s">
        <v>59</v>
      </c>
      <c r="B94">
        <f>(B92*(B76-B77)-B91*B77-B90*0.416*B86)/100</f>
        <v>162.41301642428678</v>
      </c>
      <c r="C94">
        <f>-(C92*(B76-B77)-C91*B77-C90*0.416*C86)/100</f>
        <v>-193.61988810026659</v>
      </c>
      <c r="R94" t="s">
        <v>59</v>
      </c>
      <c r="S94">
        <f>(S92*(S76-S77)-S91*S77-S90*0.416*S86)/100</f>
        <v>162.41301642428678</v>
      </c>
      <c r="T94">
        <f>-(T92*(S76-S77)-T91*S77-T90*0.416*T86)/100</f>
        <v>-193.61988810026659</v>
      </c>
    </row>
    <row r="95" spans="1:34" x14ac:dyDescent="0.25">
      <c r="A95" t="s">
        <v>32</v>
      </c>
      <c r="C95">
        <v>5</v>
      </c>
      <c r="L95" s="1">
        <v>1</v>
      </c>
      <c r="M95" s="1">
        <v>5</v>
      </c>
      <c r="R95" t="s">
        <v>32</v>
      </c>
      <c r="T95">
        <v>5</v>
      </c>
      <c r="AC95" s="1">
        <v>1</v>
      </c>
      <c r="AD95" s="1">
        <v>5</v>
      </c>
      <c r="AH95" s="3"/>
    </row>
    <row r="96" spans="1:34" x14ac:dyDescent="0.25">
      <c r="J96" t="s">
        <v>33</v>
      </c>
      <c r="L96" s="2" t="s">
        <v>22</v>
      </c>
      <c r="M96" s="2" t="s">
        <v>22</v>
      </c>
      <c r="AA96" t="s">
        <v>33</v>
      </c>
      <c r="AC96" s="2" t="s">
        <v>22</v>
      </c>
      <c r="AD96" s="2" t="s">
        <v>22</v>
      </c>
    </row>
    <row r="97" spans="1:32" x14ac:dyDescent="0.25">
      <c r="A97" t="s">
        <v>34</v>
      </c>
      <c r="B97">
        <v>30</v>
      </c>
      <c r="C97" t="s">
        <v>35</v>
      </c>
      <c r="E97" t="s">
        <v>36</v>
      </c>
      <c r="F97">
        <v>391.3</v>
      </c>
      <c r="G97" t="s">
        <v>37</v>
      </c>
      <c r="I97" t="s">
        <v>38</v>
      </c>
      <c r="J97" t="s">
        <v>4</v>
      </c>
      <c r="L97" s="2" t="s">
        <v>23</v>
      </c>
      <c r="M97" s="2" t="s">
        <v>23</v>
      </c>
      <c r="R97" t="s">
        <v>34</v>
      </c>
      <c r="S97">
        <v>30</v>
      </c>
      <c r="T97" t="s">
        <v>35</v>
      </c>
      <c r="V97" t="s">
        <v>36</v>
      </c>
      <c r="W97">
        <v>391.3</v>
      </c>
      <c r="X97" t="s">
        <v>37</v>
      </c>
      <c r="Z97" t="s">
        <v>38</v>
      </c>
      <c r="AA97" t="s">
        <v>4</v>
      </c>
      <c r="AC97" s="2" t="s">
        <v>23</v>
      </c>
      <c r="AD97" s="2" t="s">
        <v>23</v>
      </c>
    </row>
    <row r="98" spans="1:32" x14ac:dyDescent="0.25">
      <c r="A98" t="s">
        <v>39</v>
      </c>
      <c r="B98">
        <v>50</v>
      </c>
      <c r="C98" t="s">
        <v>35</v>
      </c>
      <c r="E98" t="s">
        <v>40</v>
      </c>
      <c r="F98">
        <v>14.17</v>
      </c>
      <c r="G98" t="s">
        <v>37</v>
      </c>
      <c r="H98" t="s">
        <v>18</v>
      </c>
      <c r="I98">
        <v>12.5</v>
      </c>
      <c r="R98" t="s">
        <v>39</v>
      </c>
      <c r="S98">
        <v>50</v>
      </c>
      <c r="T98" t="s">
        <v>35</v>
      </c>
      <c r="V98" t="s">
        <v>40</v>
      </c>
      <c r="W98">
        <v>14.17</v>
      </c>
      <c r="X98" t="s">
        <v>37</v>
      </c>
      <c r="Y98" t="s">
        <v>18</v>
      </c>
      <c r="Z98">
        <v>12.5</v>
      </c>
    </row>
    <row r="99" spans="1:32" x14ac:dyDescent="0.25">
      <c r="A99" t="s">
        <v>41</v>
      </c>
      <c r="B99">
        <v>4</v>
      </c>
      <c r="C99" t="s">
        <v>35</v>
      </c>
      <c r="H99" t="s">
        <v>19</v>
      </c>
      <c r="I99">
        <v>10.96</v>
      </c>
      <c r="R99" t="s">
        <v>41</v>
      </c>
      <c r="S99">
        <v>4</v>
      </c>
      <c r="T99" t="s">
        <v>35</v>
      </c>
      <c r="Y99" t="s">
        <v>19</v>
      </c>
      <c r="Z99">
        <v>10.96</v>
      </c>
    </row>
    <row r="100" spans="1:32" x14ac:dyDescent="0.25">
      <c r="A100" t="s">
        <v>42</v>
      </c>
      <c r="B100">
        <f>B98-B99</f>
        <v>46</v>
      </c>
      <c r="C100" t="s">
        <v>35</v>
      </c>
      <c r="H100" t="s">
        <v>20</v>
      </c>
      <c r="I100">
        <v>9.36</v>
      </c>
      <c r="R100" t="s">
        <v>42</v>
      </c>
      <c r="S100">
        <f>S98-S99</f>
        <v>46</v>
      </c>
      <c r="T100" t="s">
        <v>35</v>
      </c>
      <c r="Y100" t="s">
        <v>20</v>
      </c>
      <c r="Z100">
        <v>9.36</v>
      </c>
    </row>
    <row r="101" spans="1:32" x14ac:dyDescent="0.25">
      <c r="H101" t="s">
        <v>21</v>
      </c>
      <c r="I101">
        <v>7.82</v>
      </c>
      <c r="Y101" t="s">
        <v>21</v>
      </c>
      <c r="Z101">
        <v>7.82</v>
      </c>
    </row>
    <row r="102" spans="1:32" x14ac:dyDescent="0.25">
      <c r="H102" t="s">
        <v>22</v>
      </c>
      <c r="I102">
        <v>6.28</v>
      </c>
      <c r="Y102" t="s">
        <v>22</v>
      </c>
      <c r="Z102">
        <v>6.28</v>
      </c>
    </row>
    <row r="103" spans="1:32" x14ac:dyDescent="0.25">
      <c r="H103" t="s">
        <v>23</v>
      </c>
      <c r="I103">
        <v>4.62</v>
      </c>
      <c r="L103" t="s">
        <v>43</v>
      </c>
      <c r="M103">
        <f>((B106-B107)*F97)/(0.81*B97*F98)</f>
        <v>-1.8864348548344474</v>
      </c>
      <c r="O103">
        <f>B105</f>
        <v>9</v>
      </c>
      <c r="Y103" t="s">
        <v>23</v>
      </c>
      <c r="Z103">
        <v>4.62</v>
      </c>
      <c r="AC103" t="s">
        <v>43</v>
      </c>
      <c r="AD103">
        <f>((S106-S107)*W97)/(0.81*S97*W98)</f>
        <v>-1.8864348548344474</v>
      </c>
      <c r="AF103">
        <f>S105</f>
        <v>9</v>
      </c>
    </row>
    <row r="104" spans="1:32" x14ac:dyDescent="0.25">
      <c r="H104" t="s">
        <v>23</v>
      </c>
      <c r="I104">
        <v>3.08</v>
      </c>
      <c r="L104" t="s">
        <v>44</v>
      </c>
      <c r="M104">
        <f>B107/B106</f>
        <v>1.3593073593073592</v>
      </c>
      <c r="N104" t="s">
        <v>45</v>
      </c>
      <c r="O104">
        <f>(0.0035/0.00196)*M104</f>
        <v>2.4273345701917131</v>
      </c>
      <c r="Y104" t="s">
        <v>23</v>
      </c>
      <c r="Z104">
        <v>3.08</v>
      </c>
      <c r="AC104" t="s">
        <v>44</v>
      </c>
      <c r="AD104">
        <f>S107/S106</f>
        <v>1.3593073593073592</v>
      </c>
      <c r="AE104" t="s">
        <v>45</v>
      </c>
      <c r="AF104">
        <f>(0.0035/0.00196)*AD104</f>
        <v>2.4273345701917131</v>
      </c>
    </row>
    <row r="105" spans="1:32" x14ac:dyDescent="0.25">
      <c r="B105">
        <v>9</v>
      </c>
      <c r="C105" t="s">
        <v>46</v>
      </c>
      <c r="L105" t="s">
        <v>47</v>
      </c>
      <c r="M105">
        <f>(B106*F97)/(B97*B100*F98)</f>
        <v>9.2449142401276441E-2</v>
      </c>
      <c r="S105">
        <v>9</v>
      </c>
      <c r="T105" t="s">
        <v>46</v>
      </c>
      <c r="AC105" t="s">
        <v>47</v>
      </c>
      <c r="AD105">
        <f>(S106*W97)/(S97*S100*W98)</f>
        <v>9.2449142401276441E-2</v>
      </c>
    </row>
    <row r="106" spans="1:32" x14ac:dyDescent="0.25">
      <c r="A106" t="s">
        <v>48</v>
      </c>
      <c r="B106">
        <f>I103</f>
        <v>4.62</v>
      </c>
      <c r="C106">
        <f>B107</f>
        <v>6.28</v>
      </c>
      <c r="L106" t="s">
        <v>49</v>
      </c>
      <c r="M106">
        <f>(M105/(2*0.81))*((1-O104)+SQRT(((1-O104)^2)+((4*0.81*O104/M105)*B99/B100)))*B100</f>
        <v>4.3163038175067205</v>
      </c>
      <c r="R106" t="s">
        <v>48</v>
      </c>
      <c r="S106">
        <f>Z103</f>
        <v>4.62</v>
      </c>
      <c r="T106">
        <f>S107</f>
        <v>6.28</v>
      </c>
      <c r="AC106" t="s">
        <v>49</v>
      </c>
      <c r="AD106">
        <f>(AD105/(2*0.81))*((1-AF104)+SQRT(((1-AF104)^2)+((4*0.81*AF104/AD105)*S99/S100)))*S100</f>
        <v>4.3163038175067205</v>
      </c>
    </row>
    <row r="107" spans="1:32" x14ac:dyDescent="0.25">
      <c r="A107" t="s">
        <v>50</v>
      </c>
      <c r="B107">
        <f>I102</f>
        <v>6.28</v>
      </c>
      <c r="C107">
        <f>B106</f>
        <v>4.62</v>
      </c>
      <c r="R107" t="s">
        <v>50</v>
      </c>
      <c r="S107">
        <f>Z102</f>
        <v>6.28</v>
      </c>
      <c r="T107">
        <f>S106</f>
        <v>4.62</v>
      </c>
    </row>
    <row r="108" spans="1:32" x14ac:dyDescent="0.25">
      <c r="A108" t="s">
        <v>51</v>
      </c>
      <c r="B108">
        <f>M106</f>
        <v>4.3163038175067205</v>
      </c>
      <c r="C108">
        <f>M111</f>
        <v>5.1059414461416184</v>
      </c>
      <c r="L108" t="s">
        <v>43</v>
      </c>
      <c r="M108">
        <f>((C106-C107)*F97)/(0.81*B97*F98)</f>
        <v>1.8864348548344474</v>
      </c>
      <c r="O108" t="str">
        <f>C105</f>
        <v>9'</v>
      </c>
      <c r="R108" t="s">
        <v>51</v>
      </c>
      <c r="S108">
        <f>AD106</f>
        <v>4.3163038175067205</v>
      </c>
      <c r="T108">
        <f>AD111</f>
        <v>5.1059414461416184</v>
      </c>
      <c r="AC108" t="s">
        <v>43</v>
      </c>
      <c r="AD108">
        <f>((T106-T107)*W97)/(0.81*S97*W98)</f>
        <v>1.8864348548344474</v>
      </c>
      <c r="AF108" t="str">
        <f>T105</f>
        <v>9'</v>
      </c>
    </row>
    <row r="109" spans="1:32" x14ac:dyDescent="0.25">
      <c r="A109" t="s">
        <v>52</v>
      </c>
      <c r="B109">
        <f>(B108-B99)/B108*0.0035</f>
        <v>2.5648411420515078E-4</v>
      </c>
      <c r="C109">
        <f>(C108-B99)/C108*0.0035</f>
        <v>7.5809624969763192E-4</v>
      </c>
      <c r="L109" t="s">
        <v>44</v>
      </c>
      <c r="M109">
        <f>C107/C106</f>
        <v>0.73566878980891715</v>
      </c>
      <c r="N109" t="s">
        <v>45</v>
      </c>
      <c r="O109">
        <f>(0.0035/0.00196)*M109</f>
        <v>1.3136942675159236</v>
      </c>
      <c r="R109" t="s">
        <v>52</v>
      </c>
      <c r="S109">
        <f>(S108-S99)/S108*0.0035</f>
        <v>2.5648411420515078E-4</v>
      </c>
      <c r="T109">
        <f>(T108-S99)/T108*0.0035</f>
        <v>7.5809624969763192E-4</v>
      </c>
      <c r="AC109" t="s">
        <v>44</v>
      </c>
      <c r="AD109">
        <f>T107/T106</f>
        <v>0.73566878980891715</v>
      </c>
      <c r="AE109" t="s">
        <v>45</v>
      </c>
      <c r="AF109">
        <f>(0.0035/0.00196)*AD109</f>
        <v>1.3136942675159236</v>
      </c>
    </row>
    <row r="110" spans="1:32" x14ac:dyDescent="0.25">
      <c r="A110" t="s">
        <v>53</v>
      </c>
      <c r="B110">
        <f>B109*200000</f>
        <v>51.296822841030156</v>
      </c>
      <c r="C110">
        <f>C109*200000</f>
        <v>151.61924993952638</v>
      </c>
      <c r="L110" t="s">
        <v>47</v>
      </c>
      <c r="M110">
        <f>(C106*F97)/(B97*B100*F98)</f>
        <v>0.1256667996277091</v>
      </c>
      <c r="R110" t="s">
        <v>53</v>
      </c>
      <c r="S110">
        <f>S109*200000</f>
        <v>51.296822841030156</v>
      </c>
      <c r="T110">
        <f>T109*200000</f>
        <v>151.61924993952638</v>
      </c>
      <c r="AC110" t="s">
        <v>47</v>
      </c>
      <c r="AD110">
        <f>(T106*W97)/(S97*S100*W98)</f>
        <v>0.1256667996277091</v>
      </c>
    </row>
    <row r="111" spans="1:32" x14ac:dyDescent="0.25">
      <c r="A111" t="s">
        <v>54</v>
      </c>
      <c r="B111">
        <f>IF(ABS(B110)&gt;F97,F97*SIGN(B110),B110)</f>
        <v>51.296822841030156</v>
      </c>
      <c r="C111">
        <f>IF(ABS(C110)&gt;F97,F97*SIGN(C110),C110)</f>
        <v>151.61924993952638</v>
      </c>
      <c r="L111" t="s">
        <v>49</v>
      </c>
      <c r="M111">
        <f>(M110/(2*0.81))*((1-O109)+SQRT(((1-O109)^2)+((4*0.81*O109/M110)*B99/B100)))*B100</f>
        <v>5.1059414461416184</v>
      </c>
      <c r="R111" t="s">
        <v>54</v>
      </c>
      <c r="S111">
        <f>IF(ABS(S110)&gt;W97,W97*SIGN(S110),S110)</f>
        <v>51.296822841030156</v>
      </c>
      <c r="T111">
        <f>IF(ABS(T110)&gt;W97,W97*SIGN(T110),T110)</f>
        <v>151.61924993952638</v>
      </c>
      <c r="AC111" t="s">
        <v>49</v>
      </c>
      <c r="AD111">
        <f>(AD110/(2*0.81))*((1-AF109)+SQRT(((1-AF109)^2)+((4*0.81*AF109/AD110)*S99/S100)))*S100</f>
        <v>5.1059414461416184</v>
      </c>
    </row>
    <row r="112" spans="1:32" x14ac:dyDescent="0.25">
      <c r="A112" t="s">
        <v>55</v>
      </c>
      <c r="B112">
        <f>0.81*B97*B108*F98/10</f>
        <v>148.62372097859065</v>
      </c>
      <c r="C112">
        <f>0.81*B97*C108*F98/10</f>
        <v>175.81339240913897</v>
      </c>
      <c r="R112" t="s">
        <v>55</v>
      </c>
      <c r="S112">
        <f>0.81*S97*S108*W98/10</f>
        <v>148.62372097859065</v>
      </c>
      <c r="T112">
        <f>0.81*S97*T108*W98/10</f>
        <v>175.81339240913897</v>
      </c>
    </row>
    <row r="113" spans="1:20" x14ac:dyDescent="0.25">
      <c r="A113" t="s">
        <v>56</v>
      </c>
      <c r="B113">
        <f>B107*B111/10</f>
        <v>32.214404744166941</v>
      </c>
      <c r="C113">
        <f>C107*C111/10</f>
        <v>70.048093472061197</v>
      </c>
      <c r="R113" t="s">
        <v>56</v>
      </c>
      <c r="S113">
        <f>S107*S111/10</f>
        <v>32.214404744166941</v>
      </c>
      <c r="T113">
        <f>T107*T111/10</f>
        <v>70.048093472061197</v>
      </c>
    </row>
    <row r="114" spans="1:20" x14ac:dyDescent="0.25">
      <c r="A114" t="s">
        <v>57</v>
      </c>
      <c r="B114">
        <f>B106*F97/10</f>
        <v>180.78059999999999</v>
      </c>
      <c r="C114">
        <f>C106*F97/10</f>
        <v>245.7364</v>
      </c>
      <c r="R114" t="s">
        <v>57</v>
      </c>
      <c r="S114">
        <f>S106*W97/10</f>
        <v>180.78059999999999</v>
      </c>
      <c r="T114">
        <f>T106*W97/10</f>
        <v>245.7364</v>
      </c>
    </row>
    <row r="115" spans="1:20" x14ac:dyDescent="0.25">
      <c r="A115" t="s">
        <v>58</v>
      </c>
      <c r="B115">
        <f>B114-B113-B112</f>
        <v>-5.7525722757588937E-2</v>
      </c>
      <c r="C115">
        <f>C114-C113-C112</f>
        <v>-0.12508588120016384</v>
      </c>
      <c r="R115" t="s">
        <v>58</v>
      </c>
      <c r="S115">
        <f>S114-S113-S112</f>
        <v>-5.7525722757588937E-2</v>
      </c>
      <c r="T115">
        <f>T114-T113-T112</f>
        <v>-0.12508588120016384</v>
      </c>
    </row>
    <row r="116" spans="1:20" x14ac:dyDescent="0.25">
      <c r="A116" t="s">
        <v>59</v>
      </c>
      <c r="B116">
        <f>(B114*(B98-B99)-B113*B99-B112*0.416*B108)/100</f>
        <v>79.201838451828436</v>
      </c>
      <c r="C116">
        <f>-(C114*(B98-B99)-C113*B99-C112*0.416*C108)/100</f>
        <v>-106.50241785082905</v>
      </c>
      <c r="R116" t="s">
        <v>59</v>
      </c>
      <c r="S116">
        <f>(S114*(S98-S99)-S113*S99-S112*0.416*S108)/100</f>
        <v>79.201838451828436</v>
      </c>
      <c r="T116">
        <f>-(T114*(S98-S99)-T113*S99-T112*0.416*T108)/100</f>
        <v>-106.50241785082905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6"/>
  <sheetViews>
    <sheetView workbookViewId="0">
      <selection activeCell="I16" sqref="I16"/>
    </sheetView>
  </sheetViews>
  <sheetFormatPr defaultRowHeight="12" x14ac:dyDescent="0.2"/>
  <cols>
    <col min="1" max="16384" width="9.140625" style="31"/>
  </cols>
  <sheetData>
    <row r="1" spans="1:51" x14ac:dyDescent="0.2">
      <c r="A1" s="31" t="s">
        <v>32</v>
      </c>
      <c r="C1" s="31">
        <v>1</v>
      </c>
      <c r="L1" s="32">
        <v>1</v>
      </c>
      <c r="M1" s="8">
        <v>2</v>
      </c>
      <c r="N1" s="8">
        <v>2</v>
      </c>
      <c r="O1" s="8">
        <v>3</v>
      </c>
      <c r="S1" s="31" t="s">
        <v>32</v>
      </c>
      <c r="U1" s="31">
        <v>1</v>
      </c>
      <c r="AD1" s="8">
        <v>1</v>
      </c>
      <c r="AE1" s="32">
        <v>2</v>
      </c>
      <c r="AF1" s="32">
        <v>2</v>
      </c>
      <c r="AG1" s="8">
        <v>3</v>
      </c>
      <c r="AK1" s="31" t="s">
        <v>32</v>
      </c>
      <c r="AM1" s="31">
        <v>1</v>
      </c>
      <c r="AV1" s="8">
        <v>1</v>
      </c>
      <c r="AW1" s="8">
        <v>2</v>
      </c>
      <c r="AX1" s="8">
        <v>2</v>
      </c>
      <c r="AY1" s="8">
        <v>3</v>
      </c>
    </row>
    <row r="2" spans="1:51" x14ac:dyDescent="0.2">
      <c r="J2" s="31" t="s">
        <v>33</v>
      </c>
      <c r="L2" s="33" t="s">
        <v>21</v>
      </c>
      <c r="M2" s="18" t="s">
        <v>18</v>
      </c>
      <c r="N2" s="18" t="s">
        <v>18</v>
      </c>
      <c r="O2" s="18" t="s">
        <v>21</v>
      </c>
      <c r="AB2" s="31" t="s">
        <v>33</v>
      </c>
      <c r="AD2" s="34" t="s">
        <v>21</v>
      </c>
      <c r="AE2" s="33" t="s">
        <v>18</v>
      </c>
      <c r="AF2" s="33" t="s">
        <v>18</v>
      </c>
      <c r="AG2" s="18" t="s">
        <v>21</v>
      </c>
      <c r="AT2" s="31" t="s">
        <v>33</v>
      </c>
      <c r="AY2" s="18" t="s">
        <v>21</v>
      </c>
    </row>
    <row r="3" spans="1:51" x14ac:dyDescent="0.2">
      <c r="A3" s="31" t="s">
        <v>34</v>
      </c>
      <c r="B3" s="31">
        <v>30</v>
      </c>
      <c r="C3" s="31" t="s">
        <v>35</v>
      </c>
      <c r="E3" s="31" t="s">
        <v>36</v>
      </c>
      <c r="F3" s="31">
        <v>391.3</v>
      </c>
      <c r="G3" s="31" t="s">
        <v>37</v>
      </c>
      <c r="I3" s="31" t="s">
        <v>38</v>
      </c>
      <c r="J3" s="31" t="s">
        <v>4</v>
      </c>
      <c r="L3" s="33" t="s">
        <v>22</v>
      </c>
      <c r="M3" s="18" t="s">
        <v>19</v>
      </c>
      <c r="N3" s="18" t="s">
        <v>19</v>
      </c>
      <c r="O3" s="18" t="s">
        <v>21</v>
      </c>
      <c r="S3" s="31" t="s">
        <v>34</v>
      </c>
      <c r="T3" s="31">
        <v>30</v>
      </c>
      <c r="U3" s="31" t="s">
        <v>35</v>
      </c>
      <c r="W3" s="31" t="s">
        <v>36</v>
      </c>
      <c r="X3" s="31">
        <v>391.3</v>
      </c>
      <c r="Y3" s="31" t="s">
        <v>37</v>
      </c>
      <c r="AA3" s="31" t="s">
        <v>38</v>
      </c>
      <c r="AB3" s="31" t="s">
        <v>4</v>
      </c>
      <c r="AD3" s="34" t="s">
        <v>22</v>
      </c>
      <c r="AE3" s="33" t="s">
        <v>19</v>
      </c>
      <c r="AF3" s="33" t="s">
        <v>19</v>
      </c>
      <c r="AG3" s="18" t="s">
        <v>21</v>
      </c>
      <c r="AK3" s="31" t="s">
        <v>34</v>
      </c>
      <c r="AL3" s="31">
        <v>30</v>
      </c>
      <c r="AM3" s="31" t="s">
        <v>35</v>
      </c>
      <c r="AO3" s="31" t="s">
        <v>36</v>
      </c>
      <c r="AP3" s="31">
        <v>391.3</v>
      </c>
      <c r="AQ3" s="31" t="s">
        <v>37</v>
      </c>
      <c r="AS3" s="31" t="s">
        <v>38</v>
      </c>
      <c r="AT3" s="31" t="s">
        <v>4</v>
      </c>
      <c r="AY3" s="18" t="s">
        <v>21</v>
      </c>
    </row>
    <row r="4" spans="1:51" x14ac:dyDescent="0.2">
      <c r="A4" s="31" t="s">
        <v>39</v>
      </c>
      <c r="B4" s="31">
        <v>60</v>
      </c>
      <c r="C4" s="31" t="s">
        <v>35</v>
      </c>
      <c r="E4" s="31" t="s">
        <v>40</v>
      </c>
      <c r="F4" s="31">
        <v>14.17</v>
      </c>
      <c r="G4" s="31" t="s">
        <v>37</v>
      </c>
      <c r="H4" s="31" t="s">
        <v>18</v>
      </c>
      <c r="I4" s="31">
        <v>12.5</v>
      </c>
      <c r="S4" s="31" t="s">
        <v>39</v>
      </c>
      <c r="T4" s="31">
        <v>60</v>
      </c>
      <c r="U4" s="31" t="s">
        <v>35</v>
      </c>
      <c r="W4" s="31" t="s">
        <v>40</v>
      </c>
      <c r="X4" s="31">
        <v>14.17</v>
      </c>
      <c r="Y4" s="31" t="s">
        <v>37</v>
      </c>
      <c r="Z4" s="31" t="s">
        <v>18</v>
      </c>
      <c r="AA4" s="31">
        <v>12.5</v>
      </c>
      <c r="AK4" s="31" t="s">
        <v>39</v>
      </c>
      <c r="AL4" s="31">
        <v>60</v>
      </c>
      <c r="AM4" s="31" t="s">
        <v>35</v>
      </c>
      <c r="AO4" s="31" t="s">
        <v>40</v>
      </c>
      <c r="AP4" s="31">
        <v>14.17</v>
      </c>
      <c r="AQ4" s="31" t="s">
        <v>37</v>
      </c>
      <c r="AR4" s="31" t="s">
        <v>18</v>
      </c>
      <c r="AS4" s="31">
        <v>12.5</v>
      </c>
    </row>
    <row r="5" spans="1:51" x14ac:dyDescent="0.2">
      <c r="A5" s="31" t="s">
        <v>41</v>
      </c>
      <c r="B5" s="31">
        <v>4</v>
      </c>
      <c r="C5" s="31" t="s">
        <v>35</v>
      </c>
      <c r="H5" s="31" t="s">
        <v>19</v>
      </c>
      <c r="I5" s="31">
        <v>10.96</v>
      </c>
      <c r="S5" s="31" t="s">
        <v>41</v>
      </c>
      <c r="T5" s="31">
        <v>4</v>
      </c>
      <c r="U5" s="31" t="s">
        <v>35</v>
      </c>
      <c r="Z5" s="31" t="s">
        <v>19</v>
      </c>
      <c r="AA5" s="31">
        <v>10.96</v>
      </c>
      <c r="AK5" s="31" t="s">
        <v>41</v>
      </c>
      <c r="AL5" s="31">
        <v>4</v>
      </c>
      <c r="AM5" s="31" t="s">
        <v>35</v>
      </c>
      <c r="AR5" s="31" t="s">
        <v>19</v>
      </c>
      <c r="AS5" s="31">
        <v>10.96</v>
      </c>
    </row>
    <row r="6" spans="1:51" x14ac:dyDescent="0.2">
      <c r="A6" s="31" t="s">
        <v>42</v>
      </c>
      <c r="B6" s="31">
        <f>B4-B5</f>
        <v>56</v>
      </c>
      <c r="C6" s="31" t="s">
        <v>35</v>
      </c>
      <c r="H6" s="31" t="s">
        <v>20</v>
      </c>
      <c r="I6" s="31">
        <v>9.36</v>
      </c>
      <c r="S6" s="31" t="s">
        <v>42</v>
      </c>
      <c r="T6" s="31">
        <f>T4-T5</f>
        <v>56</v>
      </c>
      <c r="U6" s="31" t="s">
        <v>35</v>
      </c>
      <c r="Z6" s="31" t="s">
        <v>20</v>
      </c>
      <c r="AA6" s="31">
        <v>9.36</v>
      </c>
      <c r="AK6" s="31" t="s">
        <v>42</v>
      </c>
      <c r="AL6" s="31">
        <f>AL4-AL5</f>
        <v>56</v>
      </c>
      <c r="AM6" s="31" t="s">
        <v>35</v>
      </c>
      <c r="AR6" s="31" t="s">
        <v>20</v>
      </c>
      <c r="AS6" s="31">
        <v>9.36</v>
      </c>
    </row>
    <row r="7" spans="1:51" x14ac:dyDescent="0.2">
      <c r="H7" s="31" t="s">
        <v>21</v>
      </c>
      <c r="I7" s="31">
        <v>7.82</v>
      </c>
      <c r="Z7" s="31" t="s">
        <v>21</v>
      </c>
      <c r="AA7" s="31">
        <v>7.82</v>
      </c>
      <c r="AR7" s="31" t="s">
        <v>21</v>
      </c>
      <c r="AS7" s="31">
        <v>7.82</v>
      </c>
    </row>
    <row r="8" spans="1:51" x14ac:dyDescent="0.2">
      <c r="H8" s="31" t="s">
        <v>22</v>
      </c>
      <c r="I8" s="31">
        <v>6.28</v>
      </c>
      <c r="Z8" s="31" t="s">
        <v>22</v>
      </c>
      <c r="AA8" s="31">
        <v>6.28</v>
      </c>
      <c r="AR8" s="31" t="s">
        <v>22</v>
      </c>
      <c r="AS8" s="31">
        <v>6.28</v>
      </c>
    </row>
    <row r="9" spans="1:51" x14ac:dyDescent="0.2">
      <c r="H9" s="31" t="s">
        <v>23</v>
      </c>
      <c r="I9" s="31">
        <v>4.62</v>
      </c>
      <c r="L9" s="31" t="s">
        <v>43</v>
      </c>
      <c r="M9" s="31">
        <f>((B12-B13)*F3)/(0.81*B3*F4)</f>
        <v>-1.7500660701476194</v>
      </c>
      <c r="O9" s="31">
        <f>B11</f>
        <v>9</v>
      </c>
      <c r="Z9" s="31" t="s">
        <v>23</v>
      </c>
      <c r="AA9" s="31">
        <v>4.62</v>
      </c>
      <c r="AD9" s="31" t="s">
        <v>43</v>
      </c>
      <c r="AE9" s="31">
        <f>((T12-T13)*X3)/(0.81*T3*X4)</f>
        <v>-1.7500660701476185</v>
      </c>
      <c r="AG9" s="31">
        <f>T11</f>
        <v>9</v>
      </c>
      <c r="AR9" s="31" t="s">
        <v>23</v>
      </c>
      <c r="AS9" s="31">
        <v>4.62</v>
      </c>
      <c r="AV9" s="31" t="s">
        <v>43</v>
      </c>
      <c r="AW9" s="31">
        <f>((AL12-AL13)*AP3)/(0.81*AL3*AP4)</f>
        <v>0</v>
      </c>
      <c r="AY9" s="31">
        <f>AL11</f>
        <v>9</v>
      </c>
    </row>
    <row r="10" spans="1:51" x14ac:dyDescent="0.2">
      <c r="H10" s="31" t="s">
        <v>23</v>
      </c>
      <c r="I10" s="31">
        <v>3.08</v>
      </c>
      <c r="L10" s="31" t="s">
        <v>44</v>
      </c>
      <c r="M10" s="31">
        <f>B13/B12</f>
        <v>1.2452229299363058</v>
      </c>
      <c r="N10" s="31" t="s">
        <v>45</v>
      </c>
      <c r="O10" s="31">
        <f>(0.0035/0.00196)*M10</f>
        <v>2.2236123748862604</v>
      </c>
      <c r="Z10" s="31" t="s">
        <v>23</v>
      </c>
      <c r="AA10" s="31">
        <v>3.08</v>
      </c>
      <c r="AD10" s="31" t="s">
        <v>44</v>
      </c>
      <c r="AE10" s="31">
        <f>T13/T12</f>
        <v>1.1405109489051093</v>
      </c>
      <c r="AF10" s="31" t="s">
        <v>45</v>
      </c>
      <c r="AG10" s="31">
        <f>(0.0035/0.00196)*AE10</f>
        <v>2.0366266944734095</v>
      </c>
      <c r="AR10" s="31" t="s">
        <v>23</v>
      </c>
      <c r="AS10" s="31">
        <v>3.08</v>
      </c>
      <c r="AV10" s="31" t="s">
        <v>44</v>
      </c>
      <c r="AW10" s="31">
        <f>AL13/AL12</f>
        <v>1</v>
      </c>
      <c r="AX10" s="31" t="s">
        <v>45</v>
      </c>
      <c r="AY10" s="31">
        <f>(0.0035/0.00196)*AW10</f>
        <v>1.7857142857142858</v>
      </c>
    </row>
    <row r="11" spans="1:51" x14ac:dyDescent="0.2">
      <c r="B11" s="31">
        <v>9</v>
      </c>
      <c r="C11" s="31" t="s">
        <v>46</v>
      </c>
      <c r="L11" s="31" t="s">
        <v>47</v>
      </c>
      <c r="M11" s="31">
        <f>(B12*F3)/(B3*B6*F4)</f>
        <v>0.10322629969418962</v>
      </c>
      <c r="T11" s="31">
        <v>9</v>
      </c>
      <c r="U11" s="31" t="s">
        <v>46</v>
      </c>
      <c r="AD11" s="31" t="s">
        <v>47</v>
      </c>
      <c r="AE11" s="31">
        <f>(T12*X3)/(T3*T6*X4)</f>
        <v>0.18015290519877677</v>
      </c>
      <c r="AL11" s="31">
        <v>9</v>
      </c>
      <c r="AM11" s="31" t="s">
        <v>46</v>
      </c>
      <c r="AV11" s="31" t="s">
        <v>47</v>
      </c>
      <c r="AW11" s="31">
        <f>(AL12*AP3)/(AL3*AL6*AP4)</f>
        <v>0.12853975535168197</v>
      </c>
    </row>
    <row r="12" spans="1:51" x14ac:dyDescent="0.2">
      <c r="A12" s="31" t="s">
        <v>48</v>
      </c>
      <c r="B12" s="31">
        <f>I8</f>
        <v>6.28</v>
      </c>
      <c r="C12" s="31">
        <f>B13</f>
        <v>7.82</v>
      </c>
      <c r="L12" s="31" t="s">
        <v>49</v>
      </c>
      <c r="M12" s="31">
        <f>(M11/(2*0.81))*((1-O10)+SQRT(((1-O10)^2)+((4*0.81*O10/M11)*B5/B6)))*B6</f>
        <v>4.7189407558539873</v>
      </c>
      <c r="S12" s="31" t="s">
        <v>48</v>
      </c>
      <c r="T12" s="31">
        <f>AA5</f>
        <v>10.96</v>
      </c>
      <c r="U12" s="31">
        <f>T13</f>
        <v>12.5</v>
      </c>
      <c r="AD12" s="31" t="s">
        <v>49</v>
      </c>
      <c r="AE12" s="31">
        <f>(AE11/(2*0.81))*((1-AG10)+SQRT(((1-AG10)^2)+((4*0.81*AG10/AE11)*T5/T6)))*T6</f>
        <v>5.508497602210789</v>
      </c>
      <c r="AK12" s="31" t="s">
        <v>48</v>
      </c>
      <c r="AL12" s="31">
        <f>AS7</f>
        <v>7.82</v>
      </c>
      <c r="AM12" s="31">
        <f>AL13</f>
        <v>7.82</v>
      </c>
      <c r="AV12" s="31" t="s">
        <v>49</v>
      </c>
      <c r="AW12" s="31">
        <f>(AW11/(2*0.81))*((1-AY10)+SQRT(((1-AY10)^2)+((4*0.81*AY10/AW11)*AL5/AL6)))*AL6</f>
        <v>5.2073554075317521</v>
      </c>
    </row>
    <row r="13" spans="1:51" x14ac:dyDescent="0.2">
      <c r="A13" s="31" t="s">
        <v>50</v>
      </c>
      <c r="B13" s="31">
        <f>I7</f>
        <v>7.82</v>
      </c>
      <c r="C13" s="31">
        <f>B12</f>
        <v>6.28</v>
      </c>
      <c r="S13" s="31" t="s">
        <v>50</v>
      </c>
      <c r="T13" s="31">
        <f>AA4</f>
        <v>12.5</v>
      </c>
      <c r="U13" s="31">
        <f>T12</f>
        <v>10.96</v>
      </c>
      <c r="AK13" s="31" t="s">
        <v>50</v>
      </c>
      <c r="AL13" s="31">
        <f>AS7</f>
        <v>7.82</v>
      </c>
      <c r="AM13" s="31">
        <f>AL12</f>
        <v>7.82</v>
      </c>
    </row>
    <row r="14" spans="1:51" x14ac:dyDescent="0.2">
      <c r="A14" s="31" t="s">
        <v>51</v>
      </c>
      <c r="B14" s="31">
        <f>M12</f>
        <v>4.7189407558539873</v>
      </c>
      <c r="C14" s="31">
        <f>M17</f>
        <v>5.4670044174545982</v>
      </c>
      <c r="L14" s="31" t="s">
        <v>43</v>
      </c>
      <c r="M14" s="31">
        <f>((C12-C13)*F3)/(0.81*B3*F4)</f>
        <v>1.7500660701476194</v>
      </c>
      <c r="O14" s="31" t="str">
        <f>C11</f>
        <v>9'</v>
      </c>
      <c r="S14" s="31" t="s">
        <v>51</v>
      </c>
      <c r="T14" s="31">
        <f>AE12</f>
        <v>5.508497602210789</v>
      </c>
      <c r="U14" s="31">
        <f>AE17</f>
        <v>6.2342490935304813</v>
      </c>
      <c r="AD14" s="31" t="s">
        <v>43</v>
      </c>
      <c r="AE14" s="31">
        <f>((U12-U13)*X3)/(0.81*T3*X4)</f>
        <v>1.7500660701476185</v>
      </c>
      <c r="AG14" s="31" t="str">
        <f>U11</f>
        <v>9'</v>
      </c>
      <c r="AK14" s="31" t="s">
        <v>51</v>
      </c>
      <c r="AL14" s="31">
        <f>AW12</f>
        <v>5.2073554075317521</v>
      </c>
      <c r="AM14" s="31">
        <f>AW17</f>
        <v>5.2073554075317521</v>
      </c>
      <c r="AV14" s="31" t="s">
        <v>43</v>
      </c>
      <c r="AW14" s="31">
        <f>((AM12-AM13)*AP3)/(0.81*AL3*AP4)</f>
        <v>0</v>
      </c>
      <c r="AY14" s="31" t="str">
        <f>AM11</f>
        <v>9'</v>
      </c>
    </row>
    <row r="15" spans="1:51" x14ac:dyDescent="0.2">
      <c r="A15" s="31" t="s">
        <v>52</v>
      </c>
      <c r="B15" s="31">
        <f>(B14-B5)/B14*0.0035</f>
        <v>5.3323251459926036E-4</v>
      </c>
      <c r="C15" s="31">
        <f>(C14-B5)/C14*0.0035</f>
        <v>9.3918260696809373E-4</v>
      </c>
      <c r="L15" s="31" t="s">
        <v>44</v>
      </c>
      <c r="M15" s="31">
        <f>C13/C12</f>
        <v>0.80306905370843995</v>
      </c>
      <c r="N15" s="31" t="s">
        <v>45</v>
      </c>
      <c r="O15" s="31">
        <f>(0.0035/0.00196)*M15</f>
        <v>1.4340518816222143</v>
      </c>
      <c r="S15" s="31" t="s">
        <v>52</v>
      </c>
      <c r="T15" s="31">
        <f>(T14-T5)/T14*0.0035</f>
        <v>9.5847216228591662E-4</v>
      </c>
      <c r="U15" s="31">
        <f>(U14-T5)/U14*0.0035</f>
        <v>1.2543406126443784E-3</v>
      </c>
      <c r="AD15" s="31" t="s">
        <v>44</v>
      </c>
      <c r="AE15" s="31">
        <f>U13/U12</f>
        <v>0.87680000000000002</v>
      </c>
      <c r="AF15" s="31" t="s">
        <v>45</v>
      </c>
      <c r="AG15" s="31">
        <f>(0.0035/0.00196)*AE15</f>
        <v>1.5657142857142858</v>
      </c>
      <c r="AK15" s="31" t="s">
        <v>52</v>
      </c>
      <c r="AL15" s="31">
        <f>(AL14-AL5)/AL14*0.0035</f>
        <v>8.1149520162367866E-4</v>
      </c>
      <c r="AM15" s="31">
        <f>(AM14-AL5)/AM14*0.0035</f>
        <v>8.1149520162367866E-4</v>
      </c>
      <c r="AV15" s="31" t="s">
        <v>44</v>
      </c>
      <c r="AW15" s="31">
        <f>AM13/AM12</f>
        <v>1</v>
      </c>
      <c r="AX15" s="31" t="s">
        <v>45</v>
      </c>
      <c r="AY15" s="31">
        <f>(0.0035/0.00196)*AW15</f>
        <v>1.7857142857142858</v>
      </c>
    </row>
    <row r="16" spans="1:51" x14ac:dyDescent="0.2">
      <c r="A16" s="31" t="s">
        <v>53</v>
      </c>
      <c r="B16" s="31">
        <f>B15*200000</f>
        <v>106.64650291985207</v>
      </c>
      <c r="C16" s="31">
        <f>C15*200000</f>
        <v>187.83652139361874</v>
      </c>
      <c r="L16" s="31" t="s">
        <v>47</v>
      </c>
      <c r="M16" s="31">
        <f>(C12*F3)/(B3*B6*F4)</f>
        <v>0.12853975535168197</v>
      </c>
      <c r="S16" s="31" t="s">
        <v>53</v>
      </c>
      <c r="T16" s="31">
        <f>T15*200000</f>
        <v>191.69443245718332</v>
      </c>
      <c r="U16" s="31">
        <f>U15*200000</f>
        <v>250.86812252887569</v>
      </c>
      <c r="AD16" s="31" t="s">
        <v>47</v>
      </c>
      <c r="AE16" s="31">
        <f>(U12*X3)/(T3*T6*X4)</f>
        <v>0.20546636085626913</v>
      </c>
      <c r="AK16" s="31" t="s">
        <v>53</v>
      </c>
      <c r="AL16" s="31">
        <f>AL15*200000</f>
        <v>162.29904032473573</v>
      </c>
      <c r="AM16" s="31">
        <f>AM15*200000</f>
        <v>162.29904032473573</v>
      </c>
      <c r="AV16" s="31" t="s">
        <v>47</v>
      </c>
      <c r="AW16" s="31">
        <f>(AM12*AP3)/(AL3*AL6*AP4)</f>
        <v>0.12853975535168197</v>
      </c>
    </row>
    <row r="17" spans="1:51" x14ac:dyDescent="0.2">
      <c r="A17" s="31" t="s">
        <v>54</v>
      </c>
      <c r="B17" s="31">
        <f>IF(ABS(B16)&gt;F3,F3*SIGN(B16),B16)</f>
        <v>106.64650291985207</v>
      </c>
      <c r="C17" s="31">
        <f>IF(ABS(C16)&gt;F3,F3*SIGN(C16),C16)</f>
        <v>187.83652139361874</v>
      </c>
      <c r="L17" s="31" t="s">
        <v>49</v>
      </c>
      <c r="M17" s="31">
        <f>(M16/(2*0.81))*((1-O15)+SQRT(((1-O15)^2)+((4*0.81*O15/M16)*B5/B6)))*B6</f>
        <v>5.4670044174545982</v>
      </c>
      <c r="S17" s="31" t="s">
        <v>54</v>
      </c>
      <c r="T17" s="31">
        <f>IF(ABS(T16)&gt;X3,X3*SIGN(T16),T16)</f>
        <v>191.69443245718332</v>
      </c>
      <c r="U17" s="31">
        <f>IF(ABS(U16)&gt;X3,X3*SIGN(U16),U16)</f>
        <v>250.86812252887569</v>
      </c>
      <c r="AD17" s="31" t="s">
        <v>49</v>
      </c>
      <c r="AE17" s="31">
        <f>(AE16/(2*0.81))*((1-AG15)+SQRT(((1-AG15)^2)+((4*0.81*AG15/AE16)*T5/T6)))*T6</f>
        <v>6.2342490935304813</v>
      </c>
      <c r="AK17" s="31" t="s">
        <v>54</v>
      </c>
      <c r="AL17" s="31">
        <f>IF(ABS(AL16)&gt;AP3,AP3*SIGN(AL16),AL16)</f>
        <v>162.29904032473573</v>
      </c>
      <c r="AM17" s="31">
        <f>IF(ABS(AM16)&gt;AP3,AP3*SIGN(AM16),AM16)</f>
        <v>162.29904032473573</v>
      </c>
      <c r="AV17" s="31" t="s">
        <v>49</v>
      </c>
      <c r="AW17" s="31">
        <f>(AW16/(2*0.81))*((1-AY15)+SQRT(((1-AY15)^2)+((4*0.81*AY15/AW16)*AL5/AL6)))*AL6</f>
        <v>5.2073554075317521</v>
      </c>
    </row>
    <row r="18" spans="1:51" x14ac:dyDescent="0.2">
      <c r="A18" s="31" t="s">
        <v>55</v>
      </c>
      <c r="B18" s="31">
        <f>0.81*B3*B14*F4/10</f>
        <v>162.48775894039593</v>
      </c>
      <c r="C18" s="31">
        <f>0.81*B3*C14*F4/10</f>
        <v>188.24590980665593</v>
      </c>
      <c r="S18" s="31" t="s">
        <v>55</v>
      </c>
      <c r="T18" s="31">
        <f>0.81*T3*T14*X4/10</f>
        <v>189.67464878668434</v>
      </c>
      <c r="U18" s="31">
        <f>0.81*T3*U14*X4/10</f>
        <v>214.66452246244444</v>
      </c>
      <c r="AK18" s="31" t="s">
        <v>55</v>
      </c>
      <c r="AL18" s="31">
        <f>0.81*AL3*AL14*AP4/10</f>
        <v>179.30538948308157</v>
      </c>
      <c r="AM18" s="31">
        <f>0.81*AL3*AM14*AP4/10</f>
        <v>179.30538948308157</v>
      </c>
    </row>
    <row r="19" spans="1:51" x14ac:dyDescent="0.2">
      <c r="A19" s="31" t="s">
        <v>56</v>
      </c>
      <c r="B19" s="31">
        <f>B13*B17/10</f>
        <v>83.397565283324326</v>
      </c>
      <c r="C19" s="31">
        <f>C13*C17/10</f>
        <v>117.96133543519257</v>
      </c>
      <c r="S19" s="31" t="s">
        <v>56</v>
      </c>
      <c r="T19" s="31">
        <f>T13*T17/10</f>
        <v>239.61804057147916</v>
      </c>
      <c r="U19" s="31">
        <f>U13*U17/10</f>
        <v>274.95146229164777</v>
      </c>
      <c r="AK19" s="31" t="s">
        <v>56</v>
      </c>
      <c r="AL19" s="31">
        <f>AL13*AL17/10</f>
        <v>126.91784953394335</v>
      </c>
      <c r="AM19" s="31">
        <f>AM13*AM17/10</f>
        <v>126.91784953394335</v>
      </c>
    </row>
    <row r="20" spans="1:51" x14ac:dyDescent="0.2">
      <c r="A20" s="31" t="s">
        <v>57</v>
      </c>
      <c r="B20" s="31">
        <f>B12*F3/10</f>
        <v>245.7364</v>
      </c>
      <c r="C20" s="31">
        <f>C12*F3/10</f>
        <v>305.99660000000006</v>
      </c>
      <c r="S20" s="31" t="s">
        <v>57</v>
      </c>
      <c r="T20" s="31">
        <f>T12*X3/10</f>
        <v>428.8648</v>
      </c>
      <c r="U20" s="31">
        <f>U12*X3/10</f>
        <v>489.125</v>
      </c>
      <c r="AK20" s="31" t="s">
        <v>57</v>
      </c>
      <c r="AL20" s="31">
        <f>AL12*AP3/10</f>
        <v>305.99660000000006</v>
      </c>
      <c r="AM20" s="31">
        <f>AM12*AP3/10</f>
        <v>305.99660000000006</v>
      </c>
    </row>
    <row r="21" spans="1:51" x14ac:dyDescent="0.2">
      <c r="A21" s="31" t="s">
        <v>58</v>
      </c>
      <c r="B21" s="31">
        <f>B20-B19-B18</f>
        <v>-0.14892422372025749</v>
      </c>
      <c r="C21" s="31">
        <f>C20-C19-C18</f>
        <v>-0.21064524184842526</v>
      </c>
      <c r="S21" s="31" t="s">
        <v>58</v>
      </c>
      <c r="T21" s="31">
        <f>T20-T19-T18</f>
        <v>-0.42788935816349749</v>
      </c>
      <c r="U21" s="31">
        <f>U20-U19-U18</f>
        <v>-0.4909847540922101</v>
      </c>
      <c r="AK21" s="31" t="s">
        <v>58</v>
      </c>
      <c r="AL21" s="31">
        <f>AL20-AL19-AL18</f>
        <v>-0.22663901702486555</v>
      </c>
      <c r="AM21" s="31">
        <f>AM20-AM19-AM18</f>
        <v>-0.22663901702486555</v>
      </c>
    </row>
    <row r="22" spans="1:51" x14ac:dyDescent="0.2">
      <c r="A22" s="31" t="s">
        <v>59</v>
      </c>
      <c r="B22" s="31">
        <f>(B20*(B4-B5)-B19*B5-B18*0.416*B14)/100</f>
        <v>131.08671773942359</v>
      </c>
      <c r="C22" s="31">
        <f>-(C20*(B4-B5)-C19*B5-C18*0.416*C14)/100</f>
        <v>-162.35841510539242</v>
      </c>
      <c r="S22" s="31" t="s">
        <v>59</v>
      </c>
      <c r="T22" s="31">
        <f>(T20*(T4-T5)-T19*T5-T18*0.416*T14)/100</f>
        <v>226.23310540928767</v>
      </c>
      <c r="U22" s="31">
        <f>-(U20*(T4-T5)-U19*T5-U18*0.416*U14)/100</f>
        <v>-257.34472955330352</v>
      </c>
      <c r="AK22" s="31" t="s">
        <v>59</v>
      </c>
      <c r="AL22" s="31">
        <f>(AL20*(AL4-AL5)-AL19*AL5-AL18*0.416*AL14)/100</f>
        <v>162.39716135822118</v>
      </c>
      <c r="AM22" s="31">
        <f>-(AM20*(AL4-AL5)-AM19*AL5-AM18*0.416*AM14)/100</f>
        <v>-162.39716135822118</v>
      </c>
      <c r="AT22" s="31">
        <v>1</v>
      </c>
    </row>
    <row r="25" spans="1:51" x14ac:dyDescent="0.2">
      <c r="A25" s="31" t="s">
        <v>32</v>
      </c>
      <c r="C25" s="31">
        <v>2</v>
      </c>
      <c r="L25" s="32">
        <v>1</v>
      </c>
      <c r="M25" s="8">
        <v>2</v>
      </c>
      <c r="N25" s="8">
        <v>2</v>
      </c>
      <c r="O25" s="8">
        <v>3</v>
      </c>
      <c r="R25" s="31" t="s">
        <v>32</v>
      </c>
      <c r="T25" s="31">
        <v>2</v>
      </c>
      <c r="AC25" s="8">
        <v>1</v>
      </c>
      <c r="AD25" s="32">
        <v>2</v>
      </c>
      <c r="AE25" s="32">
        <v>2</v>
      </c>
      <c r="AF25" s="8">
        <v>3</v>
      </c>
      <c r="AK25" s="31" t="s">
        <v>32</v>
      </c>
      <c r="AM25" s="31">
        <v>2</v>
      </c>
      <c r="AV25" s="8">
        <v>1</v>
      </c>
      <c r="AW25" s="8">
        <v>2</v>
      </c>
      <c r="AX25" s="8">
        <v>2</v>
      </c>
      <c r="AY25" s="32">
        <v>3</v>
      </c>
    </row>
    <row r="26" spans="1:51" x14ac:dyDescent="0.2">
      <c r="J26" s="31" t="s">
        <v>33</v>
      </c>
      <c r="L26" s="33" t="s">
        <v>20</v>
      </c>
      <c r="M26" s="18" t="s">
        <v>18</v>
      </c>
      <c r="N26" s="18" t="s">
        <v>18</v>
      </c>
      <c r="O26" s="18" t="s">
        <v>21</v>
      </c>
      <c r="AA26" s="31" t="s">
        <v>33</v>
      </c>
      <c r="AC26" s="18" t="s">
        <v>20</v>
      </c>
      <c r="AD26" s="33" t="s">
        <v>18</v>
      </c>
      <c r="AE26" s="33" t="s">
        <v>18</v>
      </c>
      <c r="AF26" s="18" t="s">
        <v>21</v>
      </c>
      <c r="AT26" s="31" t="s">
        <v>33</v>
      </c>
      <c r="AV26" s="18" t="s">
        <v>20</v>
      </c>
      <c r="AW26" s="18" t="s">
        <v>18</v>
      </c>
      <c r="AX26" s="18" t="s">
        <v>18</v>
      </c>
      <c r="AY26" s="33" t="s">
        <v>21</v>
      </c>
    </row>
    <row r="27" spans="1:51" x14ac:dyDescent="0.2">
      <c r="A27" s="31" t="s">
        <v>34</v>
      </c>
      <c r="B27" s="31">
        <v>30</v>
      </c>
      <c r="C27" s="31" t="s">
        <v>35</v>
      </c>
      <c r="E27" s="31" t="s">
        <v>36</v>
      </c>
      <c r="F27" s="31">
        <v>391.3</v>
      </c>
      <c r="G27" s="31" t="s">
        <v>37</v>
      </c>
      <c r="I27" s="31" t="s">
        <v>38</v>
      </c>
      <c r="J27" s="31" t="s">
        <v>4</v>
      </c>
      <c r="L27" s="33" t="s">
        <v>22</v>
      </c>
      <c r="M27" s="18" t="s">
        <v>19</v>
      </c>
      <c r="N27" s="18" t="s">
        <v>19</v>
      </c>
      <c r="O27" s="18" t="s">
        <v>21</v>
      </c>
      <c r="R27" s="31" t="s">
        <v>34</v>
      </c>
      <c r="S27" s="31">
        <v>30</v>
      </c>
      <c r="T27" s="31" t="s">
        <v>35</v>
      </c>
      <c r="V27" s="31" t="s">
        <v>36</v>
      </c>
      <c r="W27" s="31">
        <v>391.3</v>
      </c>
      <c r="X27" s="31" t="s">
        <v>37</v>
      </c>
      <c r="Z27" s="31" t="s">
        <v>38</v>
      </c>
      <c r="AA27" s="31" t="s">
        <v>4</v>
      </c>
      <c r="AC27" s="18" t="s">
        <v>22</v>
      </c>
      <c r="AD27" s="33" t="s">
        <v>19</v>
      </c>
      <c r="AE27" s="33" t="s">
        <v>19</v>
      </c>
      <c r="AF27" s="18" t="s">
        <v>21</v>
      </c>
      <c r="AK27" s="31" t="s">
        <v>34</v>
      </c>
      <c r="AL27" s="31">
        <v>30</v>
      </c>
      <c r="AM27" s="31" t="s">
        <v>35</v>
      </c>
      <c r="AO27" s="31" t="s">
        <v>36</v>
      </c>
      <c r="AP27" s="31">
        <v>391.3</v>
      </c>
      <c r="AQ27" s="31" t="s">
        <v>37</v>
      </c>
      <c r="AS27" s="31" t="s">
        <v>38</v>
      </c>
      <c r="AT27" s="31" t="s">
        <v>4</v>
      </c>
      <c r="AV27" s="18" t="s">
        <v>22</v>
      </c>
      <c r="AW27" s="18" t="s">
        <v>19</v>
      </c>
      <c r="AX27" s="18" t="s">
        <v>19</v>
      </c>
      <c r="AY27" s="33" t="s">
        <v>21</v>
      </c>
    </row>
    <row r="28" spans="1:51" x14ac:dyDescent="0.2">
      <c r="A28" s="31" t="s">
        <v>39</v>
      </c>
      <c r="B28" s="31">
        <v>60</v>
      </c>
      <c r="C28" s="31" t="s">
        <v>35</v>
      </c>
      <c r="E28" s="31" t="s">
        <v>40</v>
      </c>
      <c r="F28" s="31">
        <v>14.17</v>
      </c>
      <c r="G28" s="31" t="s">
        <v>37</v>
      </c>
      <c r="H28" s="31" t="s">
        <v>18</v>
      </c>
      <c r="I28" s="31">
        <v>12.5</v>
      </c>
      <c r="R28" s="31" t="s">
        <v>39</v>
      </c>
      <c r="S28" s="31">
        <v>60</v>
      </c>
      <c r="T28" s="31" t="s">
        <v>35</v>
      </c>
      <c r="V28" s="31" t="s">
        <v>40</v>
      </c>
      <c r="W28" s="31">
        <v>14.17</v>
      </c>
      <c r="X28" s="31" t="s">
        <v>37</v>
      </c>
      <c r="Y28" s="31" t="s">
        <v>18</v>
      </c>
      <c r="Z28" s="31">
        <v>12.5</v>
      </c>
      <c r="AK28" s="31" t="s">
        <v>39</v>
      </c>
      <c r="AL28" s="31">
        <v>60</v>
      </c>
      <c r="AM28" s="31" t="s">
        <v>35</v>
      </c>
      <c r="AO28" s="31" t="s">
        <v>40</v>
      </c>
      <c r="AP28" s="31">
        <v>14.17</v>
      </c>
      <c r="AQ28" s="31" t="s">
        <v>37</v>
      </c>
      <c r="AR28" s="31" t="s">
        <v>18</v>
      </c>
      <c r="AS28" s="31">
        <v>12.5</v>
      </c>
    </row>
    <row r="29" spans="1:51" x14ac:dyDescent="0.2">
      <c r="A29" s="31" t="s">
        <v>41</v>
      </c>
      <c r="B29" s="31">
        <v>4</v>
      </c>
      <c r="C29" s="31" t="s">
        <v>35</v>
      </c>
      <c r="H29" s="31" t="s">
        <v>19</v>
      </c>
      <c r="I29" s="31">
        <v>10.96</v>
      </c>
      <c r="R29" s="31" t="s">
        <v>41</v>
      </c>
      <c r="S29" s="31">
        <v>4</v>
      </c>
      <c r="T29" s="31" t="s">
        <v>35</v>
      </c>
      <c r="Y29" s="31" t="s">
        <v>19</v>
      </c>
      <c r="Z29" s="31">
        <v>10.96</v>
      </c>
      <c r="AK29" s="31" t="s">
        <v>41</v>
      </c>
      <c r="AL29" s="31">
        <v>4</v>
      </c>
      <c r="AM29" s="31" t="s">
        <v>35</v>
      </c>
      <c r="AR29" s="31" t="s">
        <v>19</v>
      </c>
      <c r="AS29" s="31">
        <v>10.96</v>
      </c>
    </row>
    <row r="30" spans="1:51" x14ac:dyDescent="0.2">
      <c r="A30" s="31" t="s">
        <v>42</v>
      </c>
      <c r="B30" s="31">
        <f>B28-B29</f>
        <v>56</v>
      </c>
      <c r="C30" s="31" t="s">
        <v>35</v>
      </c>
      <c r="H30" s="31" t="s">
        <v>20</v>
      </c>
      <c r="I30" s="31">
        <v>9.36</v>
      </c>
      <c r="R30" s="31" t="s">
        <v>42</v>
      </c>
      <c r="S30" s="31">
        <f>S28-S29</f>
        <v>56</v>
      </c>
      <c r="T30" s="31" t="s">
        <v>35</v>
      </c>
      <c r="Y30" s="31" t="s">
        <v>20</v>
      </c>
      <c r="Z30" s="31">
        <v>9.36</v>
      </c>
      <c r="AK30" s="31" t="s">
        <v>42</v>
      </c>
      <c r="AL30" s="31">
        <f>AL28-AL29</f>
        <v>56</v>
      </c>
      <c r="AM30" s="31" t="s">
        <v>35</v>
      </c>
      <c r="AR30" s="31" t="s">
        <v>20</v>
      </c>
      <c r="AS30" s="31">
        <v>9.36</v>
      </c>
    </row>
    <row r="31" spans="1:51" x14ac:dyDescent="0.2">
      <c r="H31" s="31" t="s">
        <v>21</v>
      </c>
      <c r="I31" s="31">
        <v>7.82</v>
      </c>
      <c r="Y31" s="31" t="s">
        <v>21</v>
      </c>
      <c r="Z31" s="31">
        <v>7.82</v>
      </c>
      <c r="AR31" s="31" t="s">
        <v>21</v>
      </c>
      <c r="AS31" s="31">
        <v>7.82</v>
      </c>
    </row>
    <row r="32" spans="1:51" x14ac:dyDescent="0.2">
      <c r="H32" s="31" t="s">
        <v>22</v>
      </c>
      <c r="I32" s="31">
        <v>6.28</v>
      </c>
      <c r="Y32" s="31" t="s">
        <v>22</v>
      </c>
      <c r="Z32" s="31">
        <v>6.28</v>
      </c>
      <c r="AR32" s="31" t="s">
        <v>22</v>
      </c>
      <c r="AS32" s="31">
        <v>6.28</v>
      </c>
    </row>
    <row r="33" spans="1:51" x14ac:dyDescent="0.2">
      <c r="H33" s="31" t="s">
        <v>23</v>
      </c>
      <c r="I33" s="31">
        <v>4.62</v>
      </c>
      <c r="L33" s="31" t="s">
        <v>43</v>
      </c>
      <c r="M33" s="31">
        <f>((B36-B37)*F27)/(0.81*B27*F28)</f>
        <v>-3.5001321402952383</v>
      </c>
      <c r="O33" s="31">
        <f>B35</f>
        <v>9</v>
      </c>
      <c r="Y33" s="31" t="s">
        <v>23</v>
      </c>
      <c r="Z33" s="31">
        <v>4.62</v>
      </c>
      <c r="AC33" s="31" t="s">
        <v>43</v>
      </c>
      <c r="AD33" s="31">
        <f>((S36-S37)*W27)/(0.81*S27*W28)</f>
        <v>-1.7500660701476185</v>
      </c>
      <c r="AF33" s="31">
        <f>S35</f>
        <v>9</v>
      </c>
      <c r="AR33" s="31" t="s">
        <v>23</v>
      </c>
      <c r="AS33" s="31">
        <v>4.62</v>
      </c>
      <c r="AV33" s="31" t="s">
        <v>43</v>
      </c>
      <c r="AW33" s="31">
        <f>((AL36-AL37)*AP27)/(0.81*AL27*AP28)</f>
        <v>0</v>
      </c>
      <c r="AY33" s="31">
        <f>AL35</f>
        <v>9</v>
      </c>
    </row>
    <row r="34" spans="1:51" x14ac:dyDescent="0.2">
      <c r="H34" s="31" t="s">
        <v>23</v>
      </c>
      <c r="I34" s="31">
        <v>3.08</v>
      </c>
      <c r="L34" s="31" t="s">
        <v>44</v>
      </c>
      <c r="M34" s="31">
        <f>B37/B36</f>
        <v>1.4904458598726114</v>
      </c>
      <c r="N34" s="31" t="s">
        <v>45</v>
      </c>
      <c r="O34" s="31">
        <f>(0.0035/0.00196)*M34</f>
        <v>2.6615104640582348</v>
      </c>
      <c r="Y34" s="31" t="s">
        <v>23</v>
      </c>
      <c r="Z34" s="31">
        <v>3.08</v>
      </c>
      <c r="AC34" s="31" t="s">
        <v>44</v>
      </c>
      <c r="AD34" s="31">
        <f>S37/S36</f>
        <v>1.1405109489051093</v>
      </c>
      <c r="AE34" s="31" t="s">
        <v>45</v>
      </c>
      <c r="AF34" s="31">
        <f>(0.0035/0.00196)*AD34</f>
        <v>2.0366266944734095</v>
      </c>
      <c r="AR34" s="31" t="s">
        <v>23</v>
      </c>
      <c r="AS34" s="31">
        <v>3.08</v>
      </c>
      <c r="AV34" s="31" t="s">
        <v>44</v>
      </c>
      <c r="AW34" s="31">
        <f>AL37/AL36</f>
        <v>1</v>
      </c>
      <c r="AX34" s="31" t="s">
        <v>45</v>
      </c>
      <c r="AY34" s="31">
        <f>(0.0035/0.00196)*AW34</f>
        <v>1.7857142857142858</v>
      </c>
    </row>
    <row r="35" spans="1:51" x14ac:dyDescent="0.2">
      <c r="B35" s="31">
        <v>9</v>
      </c>
      <c r="C35" s="31" t="s">
        <v>46</v>
      </c>
      <c r="L35" s="31" t="s">
        <v>47</v>
      </c>
      <c r="M35" s="31">
        <f>(B36*F27)/(B27*B30*F28)</f>
        <v>0.10322629969418962</v>
      </c>
      <c r="S35" s="31">
        <v>9</v>
      </c>
      <c r="T35" s="31" t="s">
        <v>46</v>
      </c>
      <c r="AC35" s="31" t="s">
        <v>47</v>
      </c>
      <c r="AD35" s="31">
        <f>(S36*W27)/(S27*S30*W28)</f>
        <v>0.18015290519877677</v>
      </c>
      <c r="AL35" s="31">
        <v>9</v>
      </c>
      <c r="AM35" s="31" t="s">
        <v>46</v>
      </c>
      <c r="AV35" s="31" t="s">
        <v>47</v>
      </c>
      <c r="AW35" s="31">
        <f>(AL36*AP27)/(AL27*AL30*AP28)</f>
        <v>0.12853975535168197</v>
      </c>
    </row>
    <row r="36" spans="1:51" x14ac:dyDescent="0.2">
      <c r="A36" s="31" t="s">
        <v>48</v>
      </c>
      <c r="B36" s="31">
        <f>I32</f>
        <v>6.28</v>
      </c>
      <c r="C36" s="31">
        <f>B37</f>
        <v>9.36</v>
      </c>
      <c r="L36" s="31" t="s">
        <v>49</v>
      </c>
      <c r="M36" s="31">
        <f>(M35/(2*0.81))*((1-O34)+SQRT(((1-O34)^2)+((4*0.81*O34/M35)*B29/B30)))*B30</f>
        <v>4.6129079979416066</v>
      </c>
      <c r="R36" s="31" t="s">
        <v>48</v>
      </c>
      <c r="S36" s="31">
        <f>Z29</f>
        <v>10.96</v>
      </c>
      <c r="T36" s="31">
        <f>S37</f>
        <v>12.5</v>
      </c>
      <c r="AC36" s="31" t="s">
        <v>49</v>
      </c>
      <c r="AD36" s="31">
        <f>(AD35/(2*0.81))*((1-AF34)+SQRT(((1-AF34)^2)+((4*0.81*AF34/AD35)*S29/S30)))*S30</f>
        <v>5.508497602210789</v>
      </c>
      <c r="AK36" s="31" t="s">
        <v>48</v>
      </c>
      <c r="AL36" s="31">
        <f>AS31</f>
        <v>7.82</v>
      </c>
      <c r="AM36" s="31">
        <f>AL37</f>
        <v>7.82</v>
      </c>
      <c r="AV36" s="31" t="s">
        <v>49</v>
      </c>
      <c r="AW36" s="31">
        <f>(AW35/(2*0.81))*((1-AY34)+SQRT(((1-AY34)^2)+((4*0.81*AY34/AW35)*AL29/AL30)))*AL30</f>
        <v>5.2073554075317521</v>
      </c>
    </row>
    <row r="37" spans="1:51" x14ac:dyDescent="0.2">
      <c r="A37" s="31" t="s">
        <v>50</v>
      </c>
      <c r="B37" s="31">
        <f>I30</f>
        <v>9.36</v>
      </c>
      <c r="C37" s="31">
        <f>B36</f>
        <v>6.28</v>
      </c>
      <c r="R37" s="31" t="s">
        <v>50</v>
      </c>
      <c r="S37" s="31">
        <f>Z28</f>
        <v>12.5</v>
      </c>
      <c r="T37" s="31">
        <f>S36</f>
        <v>10.96</v>
      </c>
      <c r="AK37" s="31" t="s">
        <v>50</v>
      </c>
      <c r="AL37" s="31">
        <f>AS31</f>
        <v>7.82</v>
      </c>
      <c r="AM37" s="31">
        <f>AL36</f>
        <v>7.82</v>
      </c>
    </row>
    <row r="38" spans="1:51" x14ac:dyDescent="0.2">
      <c r="A38" s="31" t="s">
        <v>51</v>
      </c>
      <c r="B38" s="31">
        <f>M36</f>
        <v>4.6129079979416066</v>
      </c>
      <c r="C38" s="31">
        <f>M41</f>
        <v>6.16345516794137</v>
      </c>
      <c r="L38" s="31" t="s">
        <v>43</v>
      </c>
      <c r="M38" s="31">
        <f>((C36-C37)*F27)/(0.81*B27*F28)</f>
        <v>3.5001321402952383</v>
      </c>
      <c r="O38" s="31" t="str">
        <f>C35</f>
        <v>9'</v>
      </c>
      <c r="R38" s="31" t="s">
        <v>51</v>
      </c>
      <c r="S38" s="31">
        <f>AD36</f>
        <v>5.508497602210789</v>
      </c>
      <c r="T38" s="31">
        <f>AD41</f>
        <v>6.2342490935304813</v>
      </c>
      <c r="AC38" s="31" t="s">
        <v>43</v>
      </c>
      <c r="AD38" s="31">
        <f>((T36-T37)*W27)/(0.81*S27*W28)</f>
        <v>1.7500660701476185</v>
      </c>
      <c r="AF38" s="31" t="str">
        <f>T35</f>
        <v>9'</v>
      </c>
      <c r="AK38" s="31" t="s">
        <v>51</v>
      </c>
      <c r="AL38" s="31">
        <f>AW36</f>
        <v>5.2073554075317521</v>
      </c>
      <c r="AM38" s="31">
        <f>AW41</f>
        <v>5.2073554075317521</v>
      </c>
      <c r="AV38" s="31" t="s">
        <v>43</v>
      </c>
      <c r="AW38" s="31">
        <f>((AM36-AM37)*AP27)/(0.81*AL27*AP28)</f>
        <v>0</v>
      </c>
      <c r="AY38" s="31" t="str">
        <f>AM35</f>
        <v>9'</v>
      </c>
    </row>
    <row r="39" spans="1:51" x14ac:dyDescent="0.2">
      <c r="A39" s="31" t="s">
        <v>52</v>
      </c>
      <c r="B39" s="31">
        <f>(B38-B29)/B38*0.0035</f>
        <v>4.6503810476013273E-4</v>
      </c>
      <c r="C39" s="31">
        <f>(C38-B29)/C38*0.0035</f>
        <v>1.2285467942040565E-3</v>
      </c>
      <c r="L39" s="31" t="s">
        <v>44</v>
      </c>
      <c r="M39" s="31">
        <f>C37/C36</f>
        <v>0.670940170940171</v>
      </c>
      <c r="N39" s="31" t="s">
        <v>45</v>
      </c>
      <c r="O39" s="31">
        <f>(0.0035/0.00196)*M39</f>
        <v>1.1981074481074483</v>
      </c>
      <c r="R39" s="31" t="s">
        <v>52</v>
      </c>
      <c r="S39" s="31">
        <f>(S38-S29)/S38*0.0035</f>
        <v>9.5847216228591662E-4</v>
      </c>
      <c r="T39" s="31">
        <f>(T38-S29)/T38*0.0035</f>
        <v>1.2543406126443784E-3</v>
      </c>
      <c r="AC39" s="31" t="s">
        <v>44</v>
      </c>
      <c r="AD39" s="31">
        <f>T37/T36</f>
        <v>0.87680000000000002</v>
      </c>
      <c r="AE39" s="31" t="s">
        <v>45</v>
      </c>
      <c r="AF39" s="31">
        <f>(0.0035/0.00196)*AD39</f>
        <v>1.5657142857142858</v>
      </c>
      <c r="AK39" s="31" t="s">
        <v>52</v>
      </c>
      <c r="AL39" s="31">
        <f>(AL38-AL29)/AL38*0.0035</f>
        <v>8.1149520162367866E-4</v>
      </c>
      <c r="AM39" s="31">
        <f>(AM38-AL29)/AM38*0.0035</f>
        <v>8.1149520162367866E-4</v>
      </c>
      <c r="AV39" s="31" t="s">
        <v>44</v>
      </c>
      <c r="AW39" s="31">
        <f>AM37/AM36</f>
        <v>1</v>
      </c>
      <c r="AX39" s="31" t="s">
        <v>45</v>
      </c>
      <c r="AY39" s="31">
        <f>(0.0035/0.00196)*AW39</f>
        <v>1.7857142857142858</v>
      </c>
    </row>
    <row r="40" spans="1:51" x14ac:dyDescent="0.2">
      <c r="A40" s="31" t="s">
        <v>53</v>
      </c>
      <c r="B40" s="31">
        <f>B39*200000</f>
        <v>93.007620952026542</v>
      </c>
      <c r="C40" s="31">
        <f>C39*200000</f>
        <v>245.70935884081132</v>
      </c>
      <c r="L40" s="31" t="s">
        <v>47</v>
      </c>
      <c r="M40" s="31">
        <f>(C36*F27)/(B27*B30*F28)</f>
        <v>0.15385321100917432</v>
      </c>
      <c r="R40" s="31" t="s">
        <v>53</v>
      </c>
      <c r="S40" s="31">
        <f>S39*200000</f>
        <v>191.69443245718332</v>
      </c>
      <c r="T40" s="31">
        <f>T39*200000</f>
        <v>250.86812252887569</v>
      </c>
      <c r="AC40" s="31" t="s">
        <v>47</v>
      </c>
      <c r="AD40" s="31">
        <f>(T36*W27)/(S27*S30*W28)</f>
        <v>0.20546636085626913</v>
      </c>
      <c r="AK40" s="31" t="s">
        <v>53</v>
      </c>
      <c r="AL40" s="31">
        <f>AL39*200000</f>
        <v>162.29904032473573</v>
      </c>
      <c r="AM40" s="31">
        <f>AM39*200000</f>
        <v>162.29904032473573</v>
      </c>
      <c r="AV40" s="31" t="s">
        <v>47</v>
      </c>
      <c r="AW40" s="31">
        <f>(AM36*AP27)/(AL27*AL30*AP28)</f>
        <v>0.12853975535168197</v>
      </c>
    </row>
    <row r="41" spans="1:51" x14ac:dyDescent="0.2">
      <c r="A41" s="31" t="s">
        <v>54</v>
      </c>
      <c r="B41" s="31">
        <f>IF(ABS(B40)&gt;F27,F27*SIGN(B40),B40)</f>
        <v>93.007620952026542</v>
      </c>
      <c r="C41" s="31">
        <f>IF(ABS(C40)&gt;F27,F27*SIGN(C40),C40)</f>
        <v>245.70935884081132</v>
      </c>
      <c r="L41" s="31" t="s">
        <v>49</v>
      </c>
      <c r="M41" s="31">
        <f>(M40/(2*0.81))*((1-O39)+SQRT(((1-O39)^2)+((4*0.81*O39/M40)*B29/B30)))*B30</f>
        <v>6.16345516794137</v>
      </c>
      <c r="R41" s="31" t="s">
        <v>54</v>
      </c>
      <c r="S41" s="31">
        <f>IF(ABS(S40)&gt;W27,W27*SIGN(S40),S40)</f>
        <v>191.69443245718332</v>
      </c>
      <c r="T41" s="31">
        <f>IF(ABS(T40)&gt;W27,W27*SIGN(T40),T40)</f>
        <v>250.86812252887569</v>
      </c>
      <c r="AC41" s="31" t="s">
        <v>49</v>
      </c>
      <c r="AD41" s="31">
        <f>(AD40/(2*0.81))*((1-AF39)+SQRT(((1-AF39)^2)+((4*0.81*AF39/AD40)*S29/S30)))*S30</f>
        <v>6.2342490935304813</v>
      </c>
      <c r="AK41" s="31" t="s">
        <v>54</v>
      </c>
      <c r="AL41" s="31">
        <f>IF(ABS(AL40)&gt;AP27,AP27*SIGN(AL40),AL40)</f>
        <v>162.29904032473573</v>
      </c>
      <c r="AM41" s="31">
        <f>IF(ABS(AM40)&gt;AP27,AP27*SIGN(AM40),AM40)</f>
        <v>162.29904032473573</v>
      </c>
      <c r="AV41" s="31" t="s">
        <v>49</v>
      </c>
      <c r="AW41" s="31">
        <f>(AW40/(2*0.81))*((1-AY39)+SQRT(((1-AY39)^2)+((4*0.81*AY39/AW40)*AL29/AL30)))*AL30</f>
        <v>5.2073554075317521</v>
      </c>
    </row>
    <row r="42" spans="1:51" x14ac:dyDescent="0.2">
      <c r="A42" s="31" t="s">
        <v>55</v>
      </c>
      <c r="B42" s="31">
        <f>0.81*B27*B38*F28/10</f>
        <v>158.83672238392313</v>
      </c>
      <c r="C42" s="31">
        <f>0.81*B27*C38*F28/10</f>
        <v>212.22686814324203</v>
      </c>
      <c r="R42" s="31" t="s">
        <v>55</v>
      </c>
      <c r="S42" s="31">
        <f>0.81*S27*S38*W28/10</f>
        <v>189.67464878668434</v>
      </c>
      <c r="T42" s="31">
        <f>0.81*S27*T38*W28/10</f>
        <v>214.66452246244444</v>
      </c>
      <c r="AK42" s="31" t="s">
        <v>55</v>
      </c>
      <c r="AL42" s="31">
        <f>0.81*AL27*AL38*AP28/10</f>
        <v>179.30538948308157</v>
      </c>
      <c r="AM42" s="31">
        <f>0.81*AL27*AM38*AP28/10</f>
        <v>179.30538948308157</v>
      </c>
    </row>
    <row r="43" spans="1:51" x14ac:dyDescent="0.2">
      <c r="A43" s="31" t="s">
        <v>56</v>
      </c>
      <c r="B43" s="31">
        <f>B37*B41/10</f>
        <v>87.05513321109683</v>
      </c>
      <c r="C43" s="31">
        <f>C37*C41/10</f>
        <v>154.30547735202953</v>
      </c>
      <c r="R43" s="31" t="s">
        <v>56</v>
      </c>
      <c r="S43" s="31">
        <f>S37*S41/10</f>
        <v>239.61804057147916</v>
      </c>
      <c r="T43" s="31">
        <f>T37*T41/10</f>
        <v>274.95146229164777</v>
      </c>
      <c r="AK43" s="31" t="s">
        <v>56</v>
      </c>
      <c r="AL43" s="31">
        <f>AL37*AL41/10</f>
        <v>126.91784953394335</v>
      </c>
      <c r="AM43" s="31">
        <f>AM37*AM41/10</f>
        <v>126.91784953394335</v>
      </c>
    </row>
    <row r="44" spans="1:51" x14ac:dyDescent="0.2">
      <c r="A44" s="31" t="s">
        <v>57</v>
      </c>
      <c r="B44" s="31">
        <f>B36*F27/10</f>
        <v>245.7364</v>
      </c>
      <c r="C44" s="31">
        <f>C36*F27/10</f>
        <v>366.2568</v>
      </c>
      <c r="R44" s="31" t="s">
        <v>57</v>
      </c>
      <c r="S44" s="31">
        <f>S36*W27/10</f>
        <v>428.8648</v>
      </c>
      <c r="T44" s="31">
        <f>T36*W27/10</f>
        <v>489.125</v>
      </c>
      <c r="AK44" s="31" t="s">
        <v>57</v>
      </c>
      <c r="AL44" s="31">
        <f>AL36*AP27/10</f>
        <v>305.99660000000006</v>
      </c>
      <c r="AM44" s="31">
        <f>AM36*AP27/10</f>
        <v>305.99660000000006</v>
      </c>
    </row>
    <row r="45" spans="1:51" x14ac:dyDescent="0.2">
      <c r="A45" s="31" t="s">
        <v>58</v>
      </c>
      <c r="B45" s="31">
        <f>B44-B43-B42</f>
        <v>-0.15545559501995854</v>
      </c>
      <c r="C45" s="31">
        <f>C44-C43-C42</f>
        <v>-0.27554549527155814</v>
      </c>
      <c r="R45" s="31" t="s">
        <v>58</v>
      </c>
      <c r="S45" s="31">
        <f>S44-S43-S42</f>
        <v>-0.42788935816349749</v>
      </c>
      <c r="T45" s="31">
        <f>T44-T43-T42</f>
        <v>-0.4909847540922101</v>
      </c>
      <c r="AK45" s="31" t="s">
        <v>58</v>
      </c>
      <c r="AL45" s="31">
        <f>AL44-AL43-AL42</f>
        <v>-0.22663901702486555</v>
      </c>
      <c r="AM45" s="31">
        <f>AM44-AM43-AM42</f>
        <v>-0.22663901702486555</v>
      </c>
    </row>
    <row r="46" spans="1:51" x14ac:dyDescent="0.2">
      <c r="A46" s="31" t="s">
        <v>59</v>
      </c>
      <c r="B46" s="31">
        <f>(B44*(B28-B29)-B43*B29-B42*0.416*B38)/100</f>
        <v>131.08215005342134</v>
      </c>
      <c r="C46" s="31">
        <f>-(C44*(B28-B29)-C43*B29-C42*0.416*C38)/100</f>
        <v>-193.49009763102754</v>
      </c>
      <c r="R46" s="31" t="s">
        <v>59</v>
      </c>
      <c r="S46" s="31">
        <f>(S44*(S28-S29)-S43*S29-S42*0.416*S38)/100</f>
        <v>226.23310540928767</v>
      </c>
      <c r="T46" s="31">
        <f>-(T44*(S28-S29)-T43*S29-T42*0.416*T38)/100</f>
        <v>-257.34472955330352</v>
      </c>
      <c r="AK46" s="31" t="s">
        <v>59</v>
      </c>
      <c r="AL46" s="31">
        <f>(AL44*(AL28-AL29)-AL43*AL29-AL42*0.416*AL38)/100</f>
        <v>162.39716135822118</v>
      </c>
      <c r="AM46" s="31">
        <f>-(AM44*(AL28-AL29)-AM43*AL29-AM42*0.416*AM38)/100</f>
        <v>-162.39716135822118</v>
      </c>
    </row>
    <row r="49" spans="1:51" x14ac:dyDescent="0.2">
      <c r="A49" s="31" t="s">
        <v>32</v>
      </c>
      <c r="C49" s="31">
        <v>3</v>
      </c>
      <c r="L49" s="32">
        <v>1</v>
      </c>
      <c r="M49" s="8">
        <v>2</v>
      </c>
      <c r="N49" s="8">
        <v>2</v>
      </c>
      <c r="O49" s="8">
        <v>3</v>
      </c>
      <c r="R49" s="31" t="s">
        <v>32</v>
      </c>
      <c r="T49" s="31">
        <v>3</v>
      </c>
      <c r="AC49" s="8">
        <v>1</v>
      </c>
      <c r="AD49" s="32">
        <v>2</v>
      </c>
      <c r="AE49" s="32">
        <v>2</v>
      </c>
      <c r="AF49" s="8">
        <v>3</v>
      </c>
      <c r="AK49" s="31" t="s">
        <v>32</v>
      </c>
      <c r="AM49" s="31">
        <v>3</v>
      </c>
      <c r="AV49" s="8">
        <v>1</v>
      </c>
      <c r="AW49" s="8">
        <v>2</v>
      </c>
      <c r="AX49" s="8">
        <v>2</v>
      </c>
      <c r="AY49" s="32">
        <v>3</v>
      </c>
    </row>
    <row r="50" spans="1:51" x14ac:dyDescent="0.2">
      <c r="J50" s="31" t="s">
        <v>33</v>
      </c>
      <c r="L50" s="33" t="s">
        <v>21</v>
      </c>
      <c r="M50" s="18" t="s">
        <v>19</v>
      </c>
      <c r="N50" s="18" t="s">
        <v>19</v>
      </c>
      <c r="O50" s="18" t="s">
        <v>22</v>
      </c>
      <c r="AA50" s="31" t="s">
        <v>33</v>
      </c>
      <c r="AC50" s="18" t="s">
        <v>21</v>
      </c>
      <c r="AD50" s="33" t="s">
        <v>19</v>
      </c>
      <c r="AE50" s="33" t="s">
        <v>19</v>
      </c>
      <c r="AF50" s="18" t="s">
        <v>22</v>
      </c>
      <c r="AT50" s="31" t="s">
        <v>33</v>
      </c>
      <c r="AV50" s="18" t="s">
        <v>21</v>
      </c>
      <c r="AW50" s="18" t="s">
        <v>19</v>
      </c>
      <c r="AX50" s="18" t="s">
        <v>19</v>
      </c>
      <c r="AY50" s="33" t="s">
        <v>22</v>
      </c>
    </row>
    <row r="51" spans="1:51" x14ac:dyDescent="0.2">
      <c r="A51" s="31" t="s">
        <v>34</v>
      </c>
      <c r="B51" s="31">
        <v>30</v>
      </c>
      <c r="C51" s="31" t="s">
        <v>35</v>
      </c>
      <c r="E51" s="31" t="s">
        <v>36</v>
      </c>
      <c r="F51" s="31">
        <v>391.3</v>
      </c>
      <c r="G51" s="31" t="s">
        <v>37</v>
      </c>
      <c r="I51" s="31" t="s">
        <v>38</v>
      </c>
      <c r="J51" s="31" t="s">
        <v>4</v>
      </c>
      <c r="L51" s="33" t="s">
        <v>22</v>
      </c>
      <c r="M51" s="18" t="s">
        <v>20</v>
      </c>
      <c r="N51" s="18" t="s">
        <v>20</v>
      </c>
      <c r="O51" s="18" t="s">
        <v>22</v>
      </c>
      <c r="R51" s="31" t="s">
        <v>34</v>
      </c>
      <c r="S51" s="31">
        <v>30</v>
      </c>
      <c r="T51" s="31" t="s">
        <v>35</v>
      </c>
      <c r="V51" s="31" t="s">
        <v>36</v>
      </c>
      <c r="W51" s="31">
        <v>391.3</v>
      </c>
      <c r="X51" s="31" t="s">
        <v>37</v>
      </c>
      <c r="Z51" s="31" t="s">
        <v>38</v>
      </c>
      <c r="AA51" s="31" t="s">
        <v>4</v>
      </c>
      <c r="AC51" s="18" t="s">
        <v>22</v>
      </c>
      <c r="AD51" s="33" t="s">
        <v>20</v>
      </c>
      <c r="AE51" s="33" t="s">
        <v>20</v>
      </c>
      <c r="AF51" s="18" t="s">
        <v>22</v>
      </c>
      <c r="AK51" s="31" t="s">
        <v>34</v>
      </c>
      <c r="AL51" s="31">
        <v>30</v>
      </c>
      <c r="AM51" s="31" t="s">
        <v>35</v>
      </c>
      <c r="AO51" s="31" t="s">
        <v>36</v>
      </c>
      <c r="AP51" s="31">
        <v>391.3</v>
      </c>
      <c r="AQ51" s="31" t="s">
        <v>37</v>
      </c>
      <c r="AS51" s="31" t="s">
        <v>38</v>
      </c>
      <c r="AT51" s="31" t="s">
        <v>4</v>
      </c>
      <c r="AV51" s="18" t="s">
        <v>22</v>
      </c>
      <c r="AW51" s="18" t="s">
        <v>20</v>
      </c>
      <c r="AX51" s="18" t="s">
        <v>20</v>
      </c>
      <c r="AY51" s="33" t="s">
        <v>22</v>
      </c>
    </row>
    <row r="52" spans="1:51" x14ac:dyDescent="0.2">
      <c r="A52" s="31" t="s">
        <v>39</v>
      </c>
      <c r="B52" s="31">
        <v>60</v>
      </c>
      <c r="C52" s="31" t="s">
        <v>35</v>
      </c>
      <c r="E52" s="31" t="s">
        <v>40</v>
      </c>
      <c r="F52" s="31">
        <v>14.17</v>
      </c>
      <c r="G52" s="31" t="s">
        <v>37</v>
      </c>
      <c r="H52" s="31" t="s">
        <v>18</v>
      </c>
      <c r="I52" s="31">
        <v>12.5</v>
      </c>
      <c r="R52" s="31" t="s">
        <v>39</v>
      </c>
      <c r="S52" s="31">
        <v>60</v>
      </c>
      <c r="T52" s="31" t="s">
        <v>35</v>
      </c>
      <c r="V52" s="31" t="s">
        <v>40</v>
      </c>
      <c r="W52" s="31">
        <v>14.17</v>
      </c>
      <c r="X52" s="31" t="s">
        <v>37</v>
      </c>
      <c r="Y52" s="31" t="s">
        <v>18</v>
      </c>
      <c r="Z52" s="31">
        <v>12.5</v>
      </c>
      <c r="AK52" s="31" t="s">
        <v>39</v>
      </c>
      <c r="AL52" s="31">
        <v>60</v>
      </c>
      <c r="AM52" s="31" t="s">
        <v>35</v>
      </c>
      <c r="AO52" s="31" t="s">
        <v>40</v>
      </c>
      <c r="AP52" s="31">
        <v>14.17</v>
      </c>
      <c r="AQ52" s="31" t="s">
        <v>37</v>
      </c>
      <c r="AR52" s="31" t="s">
        <v>18</v>
      </c>
      <c r="AS52" s="31">
        <v>12.5</v>
      </c>
    </row>
    <row r="53" spans="1:51" x14ac:dyDescent="0.2">
      <c r="A53" s="31" t="s">
        <v>41</v>
      </c>
      <c r="B53" s="31">
        <v>4</v>
      </c>
      <c r="C53" s="31" t="s">
        <v>35</v>
      </c>
      <c r="H53" s="31" t="s">
        <v>19</v>
      </c>
      <c r="I53" s="31">
        <v>10.96</v>
      </c>
      <c r="R53" s="31" t="s">
        <v>41</v>
      </c>
      <c r="S53" s="31">
        <v>4</v>
      </c>
      <c r="T53" s="31" t="s">
        <v>35</v>
      </c>
      <c r="Y53" s="31" t="s">
        <v>19</v>
      </c>
      <c r="Z53" s="31">
        <v>10.96</v>
      </c>
      <c r="AK53" s="31" t="s">
        <v>41</v>
      </c>
      <c r="AL53" s="31">
        <v>4</v>
      </c>
      <c r="AM53" s="31" t="s">
        <v>35</v>
      </c>
      <c r="AR53" s="31" t="s">
        <v>19</v>
      </c>
      <c r="AS53" s="31">
        <v>10.96</v>
      </c>
    </row>
    <row r="54" spans="1:51" x14ac:dyDescent="0.2">
      <c r="A54" s="31" t="s">
        <v>42</v>
      </c>
      <c r="B54" s="31">
        <f>B52-B53</f>
        <v>56</v>
      </c>
      <c r="C54" s="31" t="s">
        <v>35</v>
      </c>
      <c r="H54" s="31" t="s">
        <v>20</v>
      </c>
      <c r="I54" s="31">
        <v>9.36</v>
      </c>
      <c r="R54" s="31" t="s">
        <v>42</v>
      </c>
      <c r="S54" s="31">
        <f>S52-S53</f>
        <v>56</v>
      </c>
      <c r="T54" s="31" t="s">
        <v>35</v>
      </c>
      <c r="Y54" s="31" t="s">
        <v>20</v>
      </c>
      <c r="Z54" s="31">
        <v>9.36</v>
      </c>
      <c r="AK54" s="31" t="s">
        <v>42</v>
      </c>
      <c r="AL54" s="31">
        <f>AL52-AL53</f>
        <v>56</v>
      </c>
      <c r="AM54" s="31" t="s">
        <v>35</v>
      </c>
      <c r="AR54" s="31" t="s">
        <v>20</v>
      </c>
      <c r="AS54" s="31">
        <v>9.36</v>
      </c>
    </row>
    <row r="55" spans="1:51" x14ac:dyDescent="0.2">
      <c r="H55" s="31" t="s">
        <v>21</v>
      </c>
      <c r="I55" s="31">
        <v>7.82</v>
      </c>
      <c r="Y55" s="31" t="s">
        <v>21</v>
      </c>
      <c r="Z55" s="31">
        <v>7.82</v>
      </c>
      <c r="AR55" s="31" t="s">
        <v>21</v>
      </c>
      <c r="AS55" s="31">
        <v>7.82</v>
      </c>
    </row>
    <row r="56" spans="1:51" x14ac:dyDescent="0.2">
      <c r="H56" s="31" t="s">
        <v>22</v>
      </c>
      <c r="I56" s="31">
        <v>6.28</v>
      </c>
      <c r="Y56" s="31" t="s">
        <v>22</v>
      </c>
      <c r="Z56" s="31">
        <v>6.28</v>
      </c>
      <c r="AR56" s="31" t="s">
        <v>22</v>
      </c>
      <c r="AS56" s="31">
        <v>6.28</v>
      </c>
    </row>
    <row r="57" spans="1:51" x14ac:dyDescent="0.2">
      <c r="H57" s="31" t="s">
        <v>23</v>
      </c>
      <c r="I57" s="31">
        <v>4.62</v>
      </c>
      <c r="L57" s="31" t="s">
        <v>43</v>
      </c>
      <c r="M57" s="31">
        <f>((B60-B61)*F51)/(0.81*B51*F52)</f>
        <v>-1.7500660701476194</v>
      </c>
      <c r="O57" s="31">
        <f>B59</f>
        <v>9</v>
      </c>
      <c r="Y57" s="31" t="s">
        <v>23</v>
      </c>
      <c r="Z57" s="31">
        <v>4.62</v>
      </c>
      <c r="AC57" s="31" t="s">
        <v>43</v>
      </c>
      <c r="AD57" s="31">
        <f>((S60-S61)*W51)/(0.81*S51*W52)</f>
        <v>-1.8182504624910349</v>
      </c>
      <c r="AF57" s="31">
        <f>S59</f>
        <v>9</v>
      </c>
      <c r="AR57" s="31" t="s">
        <v>23</v>
      </c>
      <c r="AS57" s="31">
        <v>4.62</v>
      </c>
      <c r="AV57" s="31" t="s">
        <v>43</v>
      </c>
      <c r="AW57" s="31">
        <f>((AL60-AL61)*AP51)/(0.81*AL51*AP52)</f>
        <v>0</v>
      </c>
      <c r="AY57" s="31">
        <f>AL59</f>
        <v>9</v>
      </c>
    </row>
    <row r="58" spans="1:51" x14ac:dyDescent="0.2">
      <c r="H58" s="31" t="s">
        <v>23</v>
      </c>
      <c r="I58" s="31">
        <v>3.08</v>
      </c>
      <c r="L58" s="31" t="s">
        <v>44</v>
      </c>
      <c r="M58" s="31">
        <f>B61/B60</f>
        <v>1.2452229299363058</v>
      </c>
      <c r="N58" s="31" t="s">
        <v>45</v>
      </c>
      <c r="O58" s="31">
        <f>(0.0035/0.00196)*M58</f>
        <v>2.2236123748862604</v>
      </c>
      <c r="Y58" s="31" t="s">
        <v>23</v>
      </c>
      <c r="Z58" s="31">
        <v>3.08</v>
      </c>
      <c r="AC58" s="31" t="s">
        <v>44</v>
      </c>
      <c r="AD58" s="31">
        <f>S61/S60</f>
        <v>1.170940170940171</v>
      </c>
      <c r="AE58" s="31" t="s">
        <v>45</v>
      </c>
      <c r="AF58" s="31">
        <f>(0.0035/0.00196)*AD58</f>
        <v>2.0909645909645911</v>
      </c>
      <c r="AR58" s="31" t="s">
        <v>23</v>
      </c>
      <c r="AS58" s="31">
        <v>3.08</v>
      </c>
      <c r="AV58" s="31" t="s">
        <v>44</v>
      </c>
      <c r="AW58" s="31">
        <f>AL61/AL60</f>
        <v>1</v>
      </c>
      <c r="AX58" s="31" t="s">
        <v>45</v>
      </c>
      <c r="AY58" s="31">
        <f>(0.0035/0.00196)*AW58</f>
        <v>1.7857142857142858</v>
      </c>
    </row>
    <row r="59" spans="1:51" x14ac:dyDescent="0.2">
      <c r="B59" s="31">
        <v>9</v>
      </c>
      <c r="C59" s="31" t="s">
        <v>46</v>
      </c>
      <c r="L59" s="31" t="s">
        <v>47</v>
      </c>
      <c r="M59" s="31">
        <f>(B60*F51)/(B51*B54*F52)</f>
        <v>0.10322629969418962</v>
      </c>
      <c r="S59" s="31">
        <v>9</v>
      </c>
      <c r="T59" s="31" t="s">
        <v>46</v>
      </c>
      <c r="AC59" s="31" t="s">
        <v>47</v>
      </c>
      <c r="AD59" s="31">
        <f>(S60*W51)/(S51*S54*W52)</f>
        <v>0.15385321100917432</v>
      </c>
      <c r="AL59" s="31">
        <v>9</v>
      </c>
      <c r="AM59" s="31" t="s">
        <v>46</v>
      </c>
      <c r="AV59" s="31" t="s">
        <v>47</v>
      </c>
      <c r="AW59" s="31">
        <f>(AL60*AP51)/(AL51*AL54*AP52)</f>
        <v>0.10322629969418962</v>
      </c>
    </row>
    <row r="60" spans="1:51" x14ac:dyDescent="0.2">
      <c r="A60" s="31" t="s">
        <v>48</v>
      </c>
      <c r="B60" s="31">
        <f>I56</f>
        <v>6.28</v>
      </c>
      <c r="C60" s="31">
        <f>B61</f>
        <v>7.82</v>
      </c>
      <c r="L60" s="31" t="s">
        <v>49</v>
      </c>
      <c r="M60" s="31">
        <f>(M59/(2*0.81))*((1-O58)+SQRT(((1-O58)^2)+((4*0.81*O58/M59)*B53/B54)))*B54</f>
        <v>4.7189407558539873</v>
      </c>
      <c r="R60" s="31" t="s">
        <v>48</v>
      </c>
      <c r="S60" s="31">
        <f>Z54</f>
        <v>9.36</v>
      </c>
      <c r="T60" s="31">
        <f>S61</f>
        <v>10.96</v>
      </c>
      <c r="AC60" s="31" t="s">
        <v>49</v>
      </c>
      <c r="AD60" s="31">
        <f>(AD59/(2*0.81))*((1-AF58)+SQRT(((1-AF58)^2)+((4*0.81*AF58/AD59)*S53/S54)))*S54</f>
        <v>5.2716552155544321</v>
      </c>
      <c r="AK60" s="31" t="s">
        <v>48</v>
      </c>
      <c r="AL60" s="31">
        <f>AS56</f>
        <v>6.28</v>
      </c>
      <c r="AM60" s="31">
        <f>AL61</f>
        <v>6.28</v>
      </c>
      <c r="AV60" s="31" t="s">
        <v>49</v>
      </c>
      <c r="AW60" s="31">
        <f>(AW59/(2*0.81))*((1-AY58)+SQRT(((1-AY58)^2)+((4*0.81*AY58/AW59)*AL53/AL54)))*AL54</f>
        <v>4.8668218432023505</v>
      </c>
    </row>
    <row r="61" spans="1:51" x14ac:dyDescent="0.2">
      <c r="A61" s="31" t="s">
        <v>50</v>
      </c>
      <c r="B61" s="31">
        <f>I55</f>
        <v>7.82</v>
      </c>
      <c r="C61" s="31">
        <f>B60</f>
        <v>6.28</v>
      </c>
      <c r="R61" s="31" t="s">
        <v>50</v>
      </c>
      <c r="S61" s="31">
        <f>Z53</f>
        <v>10.96</v>
      </c>
      <c r="T61" s="31">
        <f>S60</f>
        <v>9.36</v>
      </c>
      <c r="AK61" s="31" t="s">
        <v>50</v>
      </c>
      <c r="AL61" s="31">
        <f>AS56</f>
        <v>6.28</v>
      </c>
      <c r="AM61" s="31">
        <f>AL60</f>
        <v>6.28</v>
      </c>
    </row>
    <row r="62" spans="1:51" x14ac:dyDescent="0.2">
      <c r="A62" s="31" t="s">
        <v>51</v>
      </c>
      <c r="B62" s="31">
        <f>M60</f>
        <v>4.7189407558539873</v>
      </c>
      <c r="C62" s="31">
        <f>M65</f>
        <v>5.4670044174545982</v>
      </c>
      <c r="L62" s="31" t="s">
        <v>43</v>
      </c>
      <c r="M62" s="31">
        <f>((C60-C61)*F51)/(0.81*B51*F52)</f>
        <v>1.7500660701476194</v>
      </c>
      <c r="O62" s="31" t="str">
        <f>C59</f>
        <v>9'</v>
      </c>
      <c r="R62" s="31" t="s">
        <v>51</v>
      </c>
      <c r="S62" s="31">
        <f>AD60</f>
        <v>5.2716552155544321</v>
      </c>
      <c r="T62" s="31">
        <f>AD65</f>
        <v>6.0399182845159292</v>
      </c>
      <c r="AC62" s="31" t="s">
        <v>43</v>
      </c>
      <c r="AD62" s="31">
        <f>((T60-T61)*W51)/(0.81*S51*W52)</f>
        <v>1.8182504624910349</v>
      </c>
      <c r="AF62" s="31" t="str">
        <f>T59</f>
        <v>9'</v>
      </c>
      <c r="AK62" s="31" t="s">
        <v>51</v>
      </c>
      <c r="AL62" s="31">
        <f>AW60</f>
        <v>4.8668218432023505</v>
      </c>
      <c r="AM62" s="31">
        <f>AW65</f>
        <v>4.8668218432023505</v>
      </c>
      <c r="AV62" s="31" t="s">
        <v>43</v>
      </c>
      <c r="AW62" s="31">
        <f>((AM60-AM61)*AP51)/(0.81*AL51*AP52)</f>
        <v>0</v>
      </c>
      <c r="AY62" s="31" t="str">
        <f>AM59</f>
        <v>9'</v>
      </c>
    </row>
    <row r="63" spans="1:51" x14ac:dyDescent="0.2">
      <c r="A63" s="31" t="s">
        <v>52</v>
      </c>
      <c r="B63" s="31">
        <f>(B62-B53)/B62*0.0035</f>
        <v>5.3323251459926036E-4</v>
      </c>
      <c r="C63" s="31">
        <f>(C62-B53)/C62*0.0035</f>
        <v>9.3918260696809373E-4</v>
      </c>
      <c r="L63" s="31" t="s">
        <v>44</v>
      </c>
      <c r="M63" s="31">
        <f>C61/C60</f>
        <v>0.80306905370843995</v>
      </c>
      <c r="N63" s="31" t="s">
        <v>45</v>
      </c>
      <c r="O63" s="31">
        <f>(0.0035/0.00196)*M63</f>
        <v>1.4340518816222143</v>
      </c>
      <c r="R63" s="31" t="s">
        <v>52</v>
      </c>
      <c r="S63" s="31">
        <f>(S62-S53)/S62*0.0035</f>
        <v>8.4428762361166902E-4</v>
      </c>
      <c r="T63" s="31">
        <f>(T62-S53)/T62*0.0035</f>
        <v>1.1820878461401183E-3</v>
      </c>
      <c r="AC63" s="31" t="s">
        <v>44</v>
      </c>
      <c r="AD63" s="31">
        <f>T61/T60</f>
        <v>0.85401459854014583</v>
      </c>
      <c r="AE63" s="31" t="s">
        <v>45</v>
      </c>
      <c r="AF63" s="31">
        <f>(0.0035/0.00196)*AD63</f>
        <v>1.525026068821689</v>
      </c>
      <c r="AK63" s="31" t="s">
        <v>52</v>
      </c>
      <c r="AL63" s="31">
        <f>(AL62-AL53)/AL62*0.0035</f>
        <v>6.2337939397673684E-4</v>
      </c>
      <c r="AM63" s="31">
        <f>(AM62-AL53)/AM62*0.0035</f>
        <v>6.2337939397673684E-4</v>
      </c>
      <c r="AV63" s="31" t="s">
        <v>44</v>
      </c>
      <c r="AW63" s="31">
        <f>AM61/AM60</f>
        <v>1</v>
      </c>
      <c r="AX63" s="31" t="s">
        <v>45</v>
      </c>
      <c r="AY63" s="31">
        <f>(0.0035/0.00196)*AW63</f>
        <v>1.7857142857142858</v>
      </c>
    </row>
    <row r="64" spans="1:51" x14ac:dyDescent="0.2">
      <c r="A64" s="31" t="s">
        <v>53</v>
      </c>
      <c r="B64" s="31">
        <f>B63*200000</f>
        <v>106.64650291985207</v>
      </c>
      <c r="C64" s="31">
        <f>C63*200000</f>
        <v>187.83652139361874</v>
      </c>
      <c r="L64" s="31" t="s">
        <v>47</v>
      </c>
      <c r="M64" s="31">
        <f>(C60*F51)/(B51*B54*F52)</f>
        <v>0.12853975535168197</v>
      </c>
      <c r="R64" s="31" t="s">
        <v>53</v>
      </c>
      <c r="S64" s="31">
        <f>S63*200000</f>
        <v>168.85752472233381</v>
      </c>
      <c r="T64" s="31">
        <f>T63*200000</f>
        <v>236.41756922802367</v>
      </c>
      <c r="AC64" s="31" t="s">
        <v>47</v>
      </c>
      <c r="AD64" s="31">
        <f>(T60*W51)/(S51*S54*W52)</f>
        <v>0.18015290519877677</v>
      </c>
      <c r="AK64" s="31" t="s">
        <v>53</v>
      </c>
      <c r="AL64" s="31">
        <f>AL63*200000</f>
        <v>124.67587879534737</v>
      </c>
      <c r="AM64" s="31">
        <f>AM63*200000</f>
        <v>124.67587879534737</v>
      </c>
      <c r="AV64" s="31" t="s">
        <v>47</v>
      </c>
      <c r="AW64" s="31">
        <f>(AM60*AP51)/(AL51*AL54*AP52)</f>
        <v>0.10322629969418962</v>
      </c>
    </row>
    <row r="65" spans="1:51" x14ac:dyDescent="0.2">
      <c r="A65" s="31" t="s">
        <v>54</v>
      </c>
      <c r="B65" s="31">
        <f>IF(ABS(B64)&gt;F51,F51*SIGN(B64),B64)</f>
        <v>106.64650291985207</v>
      </c>
      <c r="C65" s="31">
        <f>IF(ABS(C64)&gt;F51,F51*SIGN(C64),C64)</f>
        <v>187.83652139361874</v>
      </c>
      <c r="L65" s="31" t="s">
        <v>49</v>
      </c>
      <c r="M65" s="31">
        <f>(M64/(2*0.81))*((1-O63)+SQRT(((1-O63)^2)+((4*0.81*O63/M64)*B53/B54)))*B54</f>
        <v>5.4670044174545982</v>
      </c>
      <c r="R65" s="31" t="s">
        <v>54</v>
      </c>
      <c r="S65" s="31">
        <f>IF(ABS(S64)&gt;W51,W51*SIGN(S64),S64)</f>
        <v>168.85752472233381</v>
      </c>
      <c r="T65" s="31">
        <f>IF(ABS(T64)&gt;W51,W51*SIGN(T64),T64)</f>
        <v>236.41756922802367</v>
      </c>
      <c r="AC65" s="31" t="s">
        <v>49</v>
      </c>
      <c r="AD65" s="31">
        <f>(AD64/(2*0.81))*((1-AF63)+SQRT(((1-AF63)^2)+((4*0.81*AF63/AD64)*S53/S54)))*S54</f>
        <v>6.0399182845159292</v>
      </c>
      <c r="AK65" s="31" t="s">
        <v>54</v>
      </c>
      <c r="AL65" s="31">
        <f>IF(ABS(AL64)&gt;AP51,AP51*SIGN(AL64),AL64)</f>
        <v>124.67587879534737</v>
      </c>
      <c r="AM65" s="31">
        <f>IF(ABS(AM64)&gt;AP51,AP51*SIGN(AM64),AM64)</f>
        <v>124.67587879534737</v>
      </c>
      <c r="AV65" s="31" t="s">
        <v>49</v>
      </c>
      <c r="AW65" s="31">
        <f>(AW64/(2*0.81))*((1-AY63)+SQRT(((1-AY63)^2)+((4*0.81*AY63/AW64)*AL53/AL54)))*AL54</f>
        <v>4.8668218432023505</v>
      </c>
    </row>
    <row r="66" spans="1:51" x14ac:dyDescent="0.2">
      <c r="A66" s="31" t="s">
        <v>55</v>
      </c>
      <c r="B66" s="31">
        <f>0.81*B51*B62*F52/10</f>
        <v>162.48775894039593</v>
      </c>
      <c r="C66" s="31">
        <f>0.81*B51*C62*F52/10</f>
        <v>188.24590980665593</v>
      </c>
      <c r="R66" s="31" t="s">
        <v>55</v>
      </c>
      <c r="S66" s="31">
        <f>0.81*S51*S62*W52/10</f>
        <v>181.51943120270732</v>
      </c>
      <c r="T66" s="31">
        <f>0.81*S51*T62*W52/10</f>
        <v>207.97311028256544</v>
      </c>
      <c r="AK66" s="31" t="s">
        <v>55</v>
      </c>
      <c r="AL66" s="31">
        <f>0.81*AL51*AL62*AP52/10</f>
        <v>167.57976320917084</v>
      </c>
      <c r="AM66" s="31">
        <f>0.81*AL51*AM62*AP52/10</f>
        <v>167.57976320917084</v>
      </c>
    </row>
    <row r="67" spans="1:51" x14ac:dyDescent="0.2">
      <c r="A67" s="31" t="s">
        <v>56</v>
      </c>
      <c r="B67" s="31">
        <f>B61*B65/10</f>
        <v>83.397565283324326</v>
      </c>
      <c r="C67" s="31">
        <f>C61*C65/10</f>
        <v>117.96133543519257</v>
      </c>
      <c r="R67" s="31" t="s">
        <v>56</v>
      </c>
      <c r="S67" s="31">
        <f>S61*S65/10</f>
        <v>185.06784709567788</v>
      </c>
      <c r="T67" s="31">
        <f>T61*T65/10</f>
        <v>221.28684479743015</v>
      </c>
      <c r="AK67" s="31" t="s">
        <v>56</v>
      </c>
      <c r="AL67" s="31">
        <f>AL61*AL65/10</f>
        <v>78.296451883478156</v>
      </c>
      <c r="AM67" s="31">
        <f>AM61*AM65/10</f>
        <v>78.296451883478156</v>
      </c>
    </row>
    <row r="68" spans="1:51" x14ac:dyDescent="0.2">
      <c r="A68" s="31" t="s">
        <v>57</v>
      </c>
      <c r="B68" s="31">
        <f>B60*F51/10</f>
        <v>245.7364</v>
      </c>
      <c r="C68" s="31">
        <f>C60*F51/10</f>
        <v>305.99660000000006</v>
      </c>
      <c r="R68" s="31" t="s">
        <v>57</v>
      </c>
      <c r="S68" s="31">
        <f>S60*W51/10</f>
        <v>366.2568</v>
      </c>
      <c r="T68" s="31">
        <f>T60*W51/10</f>
        <v>428.8648</v>
      </c>
      <c r="AK68" s="31" t="s">
        <v>57</v>
      </c>
      <c r="AL68" s="31">
        <f>AL60*AP51/10</f>
        <v>245.7364</v>
      </c>
      <c r="AM68" s="31">
        <f>AM60*AP51/10</f>
        <v>245.7364</v>
      </c>
    </row>
    <row r="69" spans="1:51" x14ac:dyDescent="0.2">
      <c r="A69" s="31" t="s">
        <v>58</v>
      </c>
      <c r="B69" s="31">
        <f>B68-B67-B66</f>
        <v>-0.14892422372025749</v>
      </c>
      <c r="C69" s="31">
        <f>C68-C67-C66</f>
        <v>-0.21064524184842526</v>
      </c>
      <c r="R69" s="31" t="s">
        <v>58</v>
      </c>
      <c r="S69" s="31">
        <f>S68-S67-S66</f>
        <v>-0.33047829838520215</v>
      </c>
      <c r="T69" s="31">
        <f>T68-T67-T66</f>
        <v>-0.39515507999558963</v>
      </c>
      <c r="AK69" s="31" t="s">
        <v>58</v>
      </c>
      <c r="AL69" s="31">
        <f>AL68-AL67-AL66</f>
        <v>-0.1398150926489734</v>
      </c>
      <c r="AM69" s="31">
        <f>AM68-AM67-AM66</f>
        <v>-0.1398150926489734</v>
      </c>
    </row>
    <row r="70" spans="1:51" x14ac:dyDescent="0.2">
      <c r="A70" s="31" t="s">
        <v>59</v>
      </c>
      <c r="B70" s="31">
        <f>(B68*(B52-B53)-B67*B53-B66*0.416*B62)/100</f>
        <v>131.08671773942359</v>
      </c>
      <c r="C70" s="31">
        <f>-(C68*(B52-B53)-C67*B53-C66*0.416*C62)/100</f>
        <v>-162.35841510539242</v>
      </c>
      <c r="R70" s="31" t="s">
        <v>59</v>
      </c>
      <c r="S70" s="31">
        <f>(S68*(S52-S53)-S67*S53-S66*0.416*S62)/100</f>
        <v>193.72035743428009</v>
      </c>
      <c r="T70" s="31">
        <f>-(T68*(S52-S53)-T67*S53-T66*0.416*T62)/100</f>
        <v>-226.08726934753221</v>
      </c>
      <c r="AK70" s="31" t="s">
        <v>59</v>
      </c>
      <c r="AL70" s="31">
        <f>(AL68*(AL52-AL53)-AL67*AL53-AL66*0.416*AL62)/100</f>
        <v>131.0877095800702</v>
      </c>
      <c r="AM70" s="31">
        <f>-(AM68*(AL52-AL53)-AM67*AL53-AM66*0.416*AM62)/100</f>
        <v>-131.0877095800702</v>
      </c>
    </row>
    <row r="73" spans="1:51" x14ac:dyDescent="0.2">
      <c r="A73" s="31" t="s">
        <v>32</v>
      </c>
      <c r="C73" s="31">
        <v>4</v>
      </c>
      <c r="L73" s="32">
        <v>1</v>
      </c>
      <c r="M73" s="8">
        <v>2</v>
      </c>
      <c r="N73" s="8">
        <v>2</v>
      </c>
      <c r="O73" s="8">
        <v>3</v>
      </c>
      <c r="R73" s="31" t="s">
        <v>32</v>
      </c>
      <c r="T73" s="31">
        <v>4</v>
      </c>
      <c r="AC73" s="8">
        <v>1</v>
      </c>
      <c r="AD73" s="32">
        <v>2</v>
      </c>
      <c r="AE73" s="32">
        <v>2</v>
      </c>
      <c r="AF73" s="8">
        <v>3</v>
      </c>
      <c r="AK73" s="31" t="s">
        <v>32</v>
      </c>
      <c r="AM73" s="31">
        <v>4</v>
      </c>
      <c r="AV73" s="8">
        <v>1</v>
      </c>
      <c r="AW73" s="8">
        <v>2</v>
      </c>
      <c r="AX73" s="8">
        <v>2</v>
      </c>
      <c r="AY73" s="32">
        <v>3</v>
      </c>
    </row>
    <row r="74" spans="1:51" x14ac:dyDescent="0.2">
      <c r="J74" s="31" t="s">
        <v>33</v>
      </c>
      <c r="L74" s="33" t="s">
        <v>22</v>
      </c>
      <c r="M74" s="18" t="s">
        <v>20</v>
      </c>
      <c r="N74" s="18" t="s">
        <v>20</v>
      </c>
      <c r="O74" s="18" t="s">
        <v>22</v>
      </c>
      <c r="AA74" s="31" t="s">
        <v>33</v>
      </c>
      <c r="AC74" s="18" t="s">
        <v>22</v>
      </c>
      <c r="AD74" s="33" t="s">
        <v>20</v>
      </c>
      <c r="AE74" s="33" t="s">
        <v>20</v>
      </c>
      <c r="AF74" s="18" t="s">
        <v>22</v>
      </c>
      <c r="AT74" s="31" t="s">
        <v>33</v>
      </c>
      <c r="AV74" s="18" t="s">
        <v>22</v>
      </c>
      <c r="AW74" s="18" t="s">
        <v>20</v>
      </c>
      <c r="AX74" s="18" t="s">
        <v>20</v>
      </c>
      <c r="AY74" s="33" t="s">
        <v>22</v>
      </c>
    </row>
    <row r="75" spans="1:51" x14ac:dyDescent="0.2">
      <c r="A75" s="31" t="s">
        <v>34</v>
      </c>
      <c r="B75" s="31">
        <v>30</v>
      </c>
      <c r="C75" s="31" t="s">
        <v>35</v>
      </c>
      <c r="E75" s="31" t="s">
        <v>36</v>
      </c>
      <c r="F75" s="31">
        <v>391.3</v>
      </c>
      <c r="G75" s="31" t="s">
        <v>37</v>
      </c>
      <c r="I75" s="31" t="s">
        <v>38</v>
      </c>
      <c r="J75" s="31" t="s">
        <v>4</v>
      </c>
      <c r="L75" s="33" t="s">
        <v>22</v>
      </c>
      <c r="M75" s="18" t="s">
        <v>21</v>
      </c>
      <c r="N75" s="18" t="s">
        <v>21</v>
      </c>
      <c r="O75" s="18" t="s">
        <v>22</v>
      </c>
      <c r="R75" s="31" t="s">
        <v>34</v>
      </c>
      <c r="S75" s="31">
        <v>30</v>
      </c>
      <c r="T75" s="31" t="s">
        <v>35</v>
      </c>
      <c r="V75" s="31" t="s">
        <v>36</v>
      </c>
      <c r="W75" s="31">
        <v>391.3</v>
      </c>
      <c r="X75" s="31" t="s">
        <v>37</v>
      </c>
      <c r="Z75" s="31" t="s">
        <v>38</v>
      </c>
      <c r="AA75" s="31" t="s">
        <v>4</v>
      </c>
      <c r="AC75" s="18" t="s">
        <v>22</v>
      </c>
      <c r="AD75" s="33" t="s">
        <v>21</v>
      </c>
      <c r="AE75" s="33" t="s">
        <v>21</v>
      </c>
      <c r="AF75" s="18" t="s">
        <v>22</v>
      </c>
      <c r="AK75" s="31" t="s">
        <v>34</v>
      </c>
      <c r="AL75" s="31">
        <v>30</v>
      </c>
      <c r="AM75" s="31" t="s">
        <v>35</v>
      </c>
      <c r="AO75" s="31" t="s">
        <v>36</v>
      </c>
      <c r="AP75" s="31">
        <v>391.3</v>
      </c>
      <c r="AQ75" s="31" t="s">
        <v>37</v>
      </c>
      <c r="AS75" s="31" t="s">
        <v>38</v>
      </c>
      <c r="AT75" s="31" t="s">
        <v>4</v>
      </c>
      <c r="AV75" s="18" t="s">
        <v>22</v>
      </c>
      <c r="AW75" s="18" t="s">
        <v>21</v>
      </c>
      <c r="AX75" s="18" t="s">
        <v>21</v>
      </c>
      <c r="AY75" s="33" t="s">
        <v>22</v>
      </c>
    </row>
    <row r="76" spans="1:51" x14ac:dyDescent="0.2">
      <c r="A76" s="31" t="s">
        <v>39</v>
      </c>
      <c r="B76" s="31">
        <v>60</v>
      </c>
      <c r="C76" s="31" t="s">
        <v>35</v>
      </c>
      <c r="E76" s="31" t="s">
        <v>40</v>
      </c>
      <c r="F76" s="31">
        <v>14.17</v>
      </c>
      <c r="G76" s="31" t="s">
        <v>37</v>
      </c>
      <c r="H76" s="31" t="s">
        <v>18</v>
      </c>
      <c r="I76" s="31">
        <v>12.5</v>
      </c>
      <c r="R76" s="31" t="s">
        <v>39</v>
      </c>
      <c r="S76" s="31">
        <v>60</v>
      </c>
      <c r="T76" s="31" t="s">
        <v>35</v>
      </c>
      <c r="V76" s="31" t="s">
        <v>40</v>
      </c>
      <c r="W76" s="31">
        <v>14.17</v>
      </c>
      <c r="X76" s="31" t="s">
        <v>37</v>
      </c>
      <c r="Y76" s="31" t="s">
        <v>18</v>
      </c>
      <c r="Z76" s="31">
        <v>12.5</v>
      </c>
      <c r="AK76" s="31" t="s">
        <v>39</v>
      </c>
      <c r="AL76" s="31">
        <v>60</v>
      </c>
      <c r="AM76" s="31" t="s">
        <v>35</v>
      </c>
      <c r="AO76" s="31" t="s">
        <v>40</v>
      </c>
      <c r="AP76" s="31">
        <v>14.17</v>
      </c>
      <c r="AQ76" s="31" t="s">
        <v>37</v>
      </c>
      <c r="AR76" s="31" t="s">
        <v>18</v>
      </c>
      <c r="AS76" s="31">
        <v>12.5</v>
      </c>
    </row>
    <row r="77" spans="1:51" x14ac:dyDescent="0.2">
      <c r="A77" s="31" t="s">
        <v>41</v>
      </c>
      <c r="B77" s="31">
        <v>4</v>
      </c>
      <c r="C77" s="31" t="s">
        <v>35</v>
      </c>
      <c r="H77" s="31" t="s">
        <v>19</v>
      </c>
      <c r="I77" s="31">
        <v>10.96</v>
      </c>
      <c r="R77" s="31" t="s">
        <v>41</v>
      </c>
      <c r="S77" s="31">
        <v>4</v>
      </c>
      <c r="T77" s="31" t="s">
        <v>35</v>
      </c>
      <c r="Y77" s="31" t="s">
        <v>19</v>
      </c>
      <c r="Z77" s="31">
        <v>10.96</v>
      </c>
      <c r="AK77" s="31" t="s">
        <v>41</v>
      </c>
      <c r="AL77" s="31">
        <v>4</v>
      </c>
      <c r="AM77" s="31" t="s">
        <v>35</v>
      </c>
      <c r="AR77" s="31" t="s">
        <v>19</v>
      </c>
      <c r="AS77" s="31">
        <v>10.96</v>
      </c>
    </row>
    <row r="78" spans="1:51" x14ac:dyDescent="0.2">
      <c r="A78" s="31" t="s">
        <v>42</v>
      </c>
      <c r="B78" s="31">
        <f>B76-B77</f>
        <v>56</v>
      </c>
      <c r="C78" s="31" t="s">
        <v>35</v>
      </c>
      <c r="H78" s="31" t="s">
        <v>20</v>
      </c>
      <c r="I78" s="31">
        <v>9.36</v>
      </c>
      <c r="R78" s="31" t="s">
        <v>42</v>
      </c>
      <c r="S78" s="31">
        <f>S76-S77</f>
        <v>56</v>
      </c>
      <c r="T78" s="31" t="s">
        <v>35</v>
      </c>
      <c r="Y78" s="31" t="s">
        <v>20</v>
      </c>
      <c r="Z78" s="31">
        <v>9.36</v>
      </c>
      <c r="AK78" s="31" t="s">
        <v>42</v>
      </c>
      <c r="AL78" s="31">
        <f>AL76-AL77</f>
        <v>56</v>
      </c>
      <c r="AM78" s="31" t="s">
        <v>35</v>
      </c>
      <c r="AR78" s="31" t="s">
        <v>20</v>
      </c>
      <c r="AS78" s="31">
        <v>9.36</v>
      </c>
    </row>
    <row r="79" spans="1:51" x14ac:dyDescent="0.2">
      <c r="H79" s="31" t="s">
        <v>21</v>
      </c>
      <c r="I79" s="31">
        <v>7.82</v>
      </c>
      <c r="Y79" s="31" t="s">
        <v>21</v>
      </c>
      <c r="Z79" s="31">
        <v>7.82</v>
      </c>
      <c r="AR79" s="31" t="s">
        <v>21</v>
      </c>
      <c r="AS79" s="31">
        <v>7.82</v>
      </c>
    </row>
    <row r="80" spans="1:51" x14ac:dyDescent="0.2">
      <c r="H80" s="31" t="s">
        <v>22</v>
      </c>
      <c r="I80" s="31">
        <v>6.28</v>
      </c>
      <c r="Y80" s="31" t="s">
        <v>22</v>
      </c>
      <c r="Z80" s="31">
        <v>6.28</v>
      </c>
      <c r="AR80" s="31" t="s">
        <v>22</v>
      </c>
      <c r="AS80" s="31">
        <v>6.28</v>
      </c>
    </row>
    <row r="81" spans="1:51" x14ac:dyDescent="0.2">
      <c r="H81" s="31" t="s">
        <v>23</v>
      </c>
      <c r="I81" s="31">
        <v>4.62</v>
      </c>
      <c r="L81" s="31" t="s">
        <v>43</v>
      </c>
      <c r="M81" s="31">
        <f>((B84-B85)*F75)/(0.81*B75*F76)</f>
        <v>0</v>
      </c>
      <c r="O81" s="31">
        <f>B83</f>
        <v>9</v>
      </c>
      <c r="Y81" s="31" t="s">
        <v>23</v>
      </c>
      <c r="Z81" s="31">
        <v>4.62</v>
      </c>
      <c r="AC81" s="31" t="s">
        <v>43</v>
      </c>
      <c r="AD81" s="31">
        <f>((S84-S85)*W75)/(0.81*S75*W76)</f>
        <v>-1.7500660701476185</v>
      </c>
      <c r="AF81" s="31">
        <f>S83</f>
        <v>9</v>
      </c>
      <c r="AR81" s="31" t="s">
        <v>23</v>
      </c>
      <c r="AS81" s="31">
        <v>4.62</v>
      </c>
      <c r="AV81" s="31" t="s">
        <v>43</v>
      </c>
      <c r="AW81" s="31">
        <f>((AL84-AL85)*AP75)/(0.81*AL75*AP76)</f>
        <v>0</v>
      </c>
      <c r="AY81" s="31">
        <f>AL83</f>
        <v>9</v>
      </c>
    </row>
    <row r="82" spans="1:51" x14ac:dyDescent="0.2">
      <c r="H82" s="31" t="s">
        <v>23</v>
      </c>
      <c r="I82" s="31">
        <v>3.08</v>
      </c>
      <c r="L82" s="31" t="s">
        <v>44</v>
      </c>
      <c r="M82" s="31">
        <f>B85/B84</f>
        <v>1</v>
      </c>
      <c r="N82" s="31" t="s">
        <v>45</v>
      </c>
      <c r="O82" s="31">
        <f>(0.0035/0.00196)*M82</f>
        <v>1.7857142857142858</v>
      </c>
      <c r="Y82" s="31" t="s">
        <v>23</v>
      </c>
      <c r="Z82" s="31">
        <v>3.08</v>
      </c>
      <c r="AC82" s="31" t="s">
        <v>44</v>
      </c>
      <c r="AD82" s="31">
        <f>S85/S84</f>
        <v>1.19693094629156</v>
      </c>
      <c r="AE82" s="31" t="s">
        <v>45</v>
      </c>
      <c r="AF82" s="31">
        <f>(0.0035/0.00196)*AD82</f>
        <v>2.1373766898063575</v>
      </c>
      <c r="AR82" s="31" t="s">
        <v>23</v>
      </c>
      <c r="AS82" s="31">
        <v>3.08</v>
      </c>
      <c r="AV82" s="31" t="s">
        <v>44</v>
      </c>
      <c r="AW82" s="31">
        <f>AL85/AL84</f>
        <v>1</v>
      </c>
      <c r="AX82" s="31" t="s">
        <v>45</v>
      </c>
      <c r="AY82" s="31">
        <f>(0.0035/0.00196)*AW82</f>
        <v>1.7857142857142858</v>
      </c>
    </row>
    <row r="83" spans="1:51" x14ac:dyDescent="0.2">
      <c r="B83" s="31">
        <v>9</v>
      </c>
      <c r="C83" s="31" t="s">
        <v>46</v>
      </c>
      <c r="L83" s="31" t="s">
        <v>47</v>
      </c>
      <c r="M83" s="31">
        <f>(B84*F75)/(B75*B78*F76)</f>
        <v>0.10322629969418962</v>
      </c>
      <c r="S83" s="31">
        <v>9</v>
      </c>
      <c r="T83" s="31" t="s">
        <v>46</v>
      </c>
      <c r="AC83" s="31" t="s">
        <v>47</v>
      </c>
      <c r="AD83" s="31">
        <f>(S84*W75)/(S75*S78*W76)</f>
        <v>0.12853975535168197</v>
      </c>
      <c r="AL83" s="31">
        <v>9</v>
      </c>
      <c r="AM83" s="31" t="s">
        <v>46</v>
      </c>
      <c r="AV83" s="31" t="s">
        <v>47</v>
      </c>
      <c r="AW83" s="31">
        <f>(AL84*AP75)/(AL75*AL78*AP76)</f>
        <v>0.10322629969418962</v>
      </c>
    </row>
    <row r="84" spans="1:51" x14ac:dyDescent="0.2">
      <c r="A84" s="31" t="s">
        <v>48</v>
      </c>
      <c r="B84" s="31">
        <f>I80</f>
        <v>6.28</v>
      </c>
      <c r="C84" s="31">
        <f>B85</f>
        <v>6.28</v>
      </c>
      <c r="L84" s="31" t="s">
        <v>49</v>
      </c>
      <c r="M84" s="31">
        <f>(M83/(2*0.81))*((1-O82)+SQRT(((1-O82)^2)+((4*0.81*O82/M83)*B77/B78)))*B78</f>
        <v>4.8668218432023505</v>
      </c>
      <c r="R84" s="31" t="s">
        <v>48</v>
      </c>
      <c r="S84" s="31">
        <f>Z79</f>
        <v>7.82</v>
      </c>
      <c r="T84" s="31">
        <f>S85</f>
        <v>9.36</v>
      </c>
      <c r="AC84" s="31" t="s">
        <v>49</v>
      </c>
      <c r="AD84" s="31">
        <f>(AD83/(2*0.81))*((1-AF82)+SQRT(((1-AF82)^2)+((4*0.81*AF82/AD83)*S77/S78)))*S78</f>
        <v>5.0218224713176447</v>
      </c>
      <c r="AK84" s="31" t="s">
        <v>48</v>
      </c>
      <c r="AL84" s="31">
        <f>AS80</f>
        <v>6.28</v>
      </c>
      <c r="AM84" s="31">
        <f>AL85</f>
        <v>6.28</v>
      </c>
      <c r="AV84" s="31" t="s">
        <v>49</v>
      </c>
      <c r="AW84" s="31">
        <f>(AW83/(2*0.81))*((1-AY82)+SQRT(((1-AY82)^2)+((4*0.81*AY82/AW83)*AL77/AL78)))*AL78</f>
        <v>4.8668218432023505</v>
      </c>
    </row>
    <row r="85" spans="1:51" x14ac:dyDescent="0.2">
      <c r="A85" s="31" t="s">
        <v>50</v>
      </c>
      <c r="B85" s="31">
        <f>I80</f>
        <v>6.28</v>
      </c>
      <c r="C85" s="31">
        <f>B84</f>
        <v>6.28</v>
      </c>
      <c r="R85" s="31" t="s">
        <v>50</v>
      </c>
      <c r="S85" s="31">
        <f>Z78</f>
        <v>9.36</v>
      </c>
      <c r="T85" s="31">
        <f>S84</f>
        <v>7.82</v>
      </c>
      <c r="AK85" s="31" t="s">
        <v>50</v>
      </c>
      <c r="AL85" s="31">
        <f>AS80</f>
        <v>6.28</v>
      </c>
      <c r="AM85" s="31">
        <f>AL84</f>
        <v>6.28</v>
      </c>
    </row>
    <row r="86" spans="1:51" x14ac:dyDescent="0.2">
      <c r="A86" s="31" t="s">
        <v>51</v>
      </c>
      <c r="B86" s="31">
        <f>M84</f>
        <v>4.8668218432023505</v>
      </c>
      <c r="C86" s="31">
        <f>M89</f>
        <v>4.8668218432023505</v>
      </c>
      <c r="L86" s="31" t="s">
        <v>43</v>
      </c>
      <c r="M86" s="31">
        <f>((C84-C85)*F75)/(0.81*B75*F76)</f>
        <v>0</v>
      </c>
      <c r="O86" s="31" t="str">
        <f>C83</f>
        <v>9'</v>
      </c>
      <c r="R86" s="31" t="s">
        <v>51</v>
      </c>
      <c r="S86" s="31">
        <f>AD84</f>
        <v>5.0218224713176447</v>
      </c>
      <c r="T86" s="31">
        <f>AD89</f>
        <v>5.7695777660037777</v>
      </c>
      <c r="AC86" s="31" t="s">
        <v>43</v>
      </c>
      <c r="AD86" s="31">
        <f>((T84-T85)*W75)/(0.81*S75*W76)</f>
        <v>1.7500660701476185</v>
      </c>
      <c r="AF86" s="31" t="str">
        <f>T83</f>
        <v>9'</v>
      </c>
      <c r="AK86" s="31" t="s">
        <v>51</v>
      </c>
      <c r="AL86" s="31">
        <f>AW84</f>
        <v>4.8668218432023505</v>
      </c>
      <c r="AM86" s="31">
        <f>AW89</f>
        <v>4.8668218432023505</v>
      </c>
      <c r="AV86" s="31" t="s">
        <v>43</v>
      </c>
      <c r="AW86" s="31">
        <f>((AM84-AM85)*AP75)/(0.81*AL75*AP76)</f>
        <v>0</v>
      </c>
      <c r="AY86" s="31" t="str">
        <f>AM83</f>
        <v>9'</v>
      </c>
    </row>
    <row r="87" spans="1:51" x14ac:dyDescent="0.2">
      <c r="A87" s="31" t="s">
        <v>52</v>
      </c>
      <c r="B87" s="31">
        <f>(B86-B77)/B86*0.0035</f>
        <v>6.2337939397673684E-4</v>
      </c>
      <c r="C87" s="31">
        <f>(C86-B77)/C86*0.0035</f>
        <v>6.2337939397673684E-4</v>
      </c>
      <c r="L87" s="31" t="s">
        <v>44</v>
      </c>
      <c r="M87" s="31">
        <f>C85/C84</f>
        <v>1</v>
      </c>
      <c r="N87" s="31" t="s">
        <v>45</v>
      </c>
      <c r="O87" s="31">
        <f>(0.0035/0.00196)*M87</f>
        <v>1.7857142857142858</v>
      </c>
      <c r="R87" s="31" t="s">
        <v>52</v>
      </c>
      <c r="S87" s="31">
        <f>(S86-S77)/S86*0.0035</f>
        <v>7.1216747904538592E-4</v>
      </c>
      <c r="T87" s="31">
        <f>(T86-S77)/T86*0.0035</f>
        <v>1.0734792791090297E-3</v>
      </c>
      <c r="AC87" s="31" t="s">
        <v>44</v>
      </c>
      <c r="AD87" s="31">
        <f>T85/T84</f>
        <v>0.8354700854700855</v>
      </c>
      <c r="AE87" s="31" t="s">
        <v>45</v>
      </c>
      <c r="AF87" s="31">
        <f>(0.0035/0.00196)*AD87</f>
        <v>1.4919108669108669</v>
      </c>
      <c r="AK87" s="31" t="s">
        <v>52</v>
      </c>
      <c r="AL87" s="31">
        <f>(AL86-AL77)/AL86*0.0035</f>
        <v>6.2337939397673684E-4</v>
      </c>
      <c r="AM87" s="31">
        <f>(AM86-AL77)/AM86*0.0035</f>
        <v>6.2337939397673684E-4</v>
      </c>
      <c r="AV87" s="31" t="s">
        <v>44</v>
      </c>
      <c r="AW87" s="31">
        <f>AM85/AM84</f>
        <v>1</v>
      </c>
      <c r="AX87" s="31" t="s">
        <v>45</v>
      </c>
      <c r="AY87" s="31">
        <f>(0.0035/0.00196)*AW87</f>
        <v>1.7857142857142858</v>
      </c>
    </row>
    <row r="88" spans="1:51" x14ac:dyDescent="0.2">
      <c r="A88" s="31" t="s">
        <v>53</v>
      </c>
      <c r="B88" s="31">
        <f>B87*200000</f>
        <v>124.67587879534737</v>
      </c>
      <c r="C88" s="31">
        <f>C87*200000</f>
        <v>124.67587879534737</v>
      </c>
      <c r="L88" s="31" t="s">
        <v>47</v>
      </c>
      <c r="M88" s="31">
        <f>(C84*F75)/(B75*B78*F76)</f>
        <v>0.10322629969418962</v>
      </c>
      <c r="R88" s="31" t="s">
        <v>53</v>
      </c>
      <c r="S88" s="31">
        <f>S87*200000</f>
        <v>142.43349580907719</v>
      </c>
      <c r="T88" s="31">
        <f>T87*200000</f>
        <v>214.69585582180594</v>
      </c>
      <c r="AC88" s="31" t="s">
        <v>47</v>
      </c>
      <c r="AD88" s="31">
        <f>(T84*W75)/(S75*S78*W76)</f>
        <v>0.15385321100917432</v>
      </c>
      <c r="AK88" s="31" t="s">
        <v>53</v>
      </c>
      <c r="AL88" s="31">
        <f>AL87*200000</f>
        <v>124.67587879534737</v>
      </c>
      <c r="AM88" s="31">
        <f>AM87*200000</f>
        <v>124.67587879534737</v>
      </c>
      <c r="AV88" s="31" t="s">
        <v>47</v>
      </c>
      <c r="AW88" s="31">
        <f>(AM84*AP75)/(AL75*AL78*AP76)</f>
        <v>0.10322629969418962</v>
      </c>
    </row>
    <row r="89" spans="1:51" x14ac:dyDescent="0.2">
      <c r="A89" s="31" t="s">
        <v>54</v>
      </c>
      <c r="B89" s="31">
        <f>IF(ABS(B88)&gt;F75,F75*SIGN(B88),B88)</f>
        <v>124.67587879534737</v>
      </c>
      <c r="C89" s="31">
        <f>IF(ABS(C88)&gt;F75,F75*SIGN(C88),C88)</f>
        <v>124.67587879534737</v>
      </c>
      <c r="L89" s="31" t="s">
        <v>49</v>
      </c>
      <c r="M89" s="31">
        <f>(M88/(2*0.81))*((1-O87)+SQRT(((1-O87)^2)+((4*0.81*O87/M88)*B77/B78)))*B78</f>
        <v>4.8668218432023505</v>
      </c>
      <c r="R89" s="31" t="s">
        <v>54</v>
      </c>
      <c r="S89" s="31">
        <f>IF(ABS(S88)&gt;W75,W75*SIGN(S88),S88)</f>
        <v>142.43349580907719</v>
      </c>
      <c r="T89" s="31">
        <f>IF(ABS(T88)&gt;W75,W75*SIGN(T88),T88)</f>
        <v>214.69585582180594</v>
      </c>
      <c r="AC89" s="31" t="s">
        <v>49</v>
      </c>
      <c r="AD89" s="31">
        <f>(AD88/(2*0.81))*((1-AF87)+SQRT(((1-AF87)^2)+((4*0.81*AF87/AD88)*S77/S78)))*S78</f>
        <v>5.7695777660037777</v>
      </c>
      <c r="AK89" s="31" t="s">
        <v>54</v>
      </c>
      <c r="AL89" s="31">
        <f>IF(ABS(AL88)&gt;AP75,AP75*SIGN(AL88),AL88)</f>
        <v>124.67587879534737</v>
      </c>
      <c r="AM89" s="31">
        <f>IF(ABS(AM88)&gt;AP75,AP75*SIGN(AM88),AM88)</f>
        <v>124.67587879534737</v>
      </c>
      <c r="AV89" s="31" t="s">
        <v>49</v>
      </c>
      <c r="AW89" s="31">
        <f>(AW88/(2*0.81))*((1-AY87)+SQRT(((1-AY87)^2)+((4*0.81*AY87/AW88)*AL77/AL78)))*AL78</f>
        <v>4.8668218432023505</v>
      </c>
    </row>
    <row r="90" spans="1:51" x14ac:dyDescent="0.2">
      <c r="A90" s="31" t="s">
        <v>55</v>
      </c>
      <c r="B90" s="31">
        <f>0.81*B75*B86*F76/10</f>
        <v>167.57976320917084</v>
      </c>
      <c r="C90" s="31">
        <f>0.81*B75*C86*F76/10</f>
        <v>167.57976320917084</v>
      </c>
      <c r="R90" s="31" t="s">
        <v>55</v>
      </c>
      <c r="S90" s="31">
        <f>0.81*S75*S86*W76/10</f>
        <v>172.91691533712759</v>
      </c>
      <c r="T90" s="31">
        <f>0.81*S75*T86*W76/10</f>
        <v>198.66444817458469</v>
      </c>
      <c r="AK90" s="31" t="s">
        <v>55</v>
      </c>
      <c r="AL90" s="31">
        <f>0.81*AL75*AL86*AP76/10</f>
        <v>167.57976320917084</v>
      </c>
      <c r="AM90" s="31">
        <f>0.81*AL75*AM86*AP76/10</f>
        <v>167.57976320917084</v>
      </c>
    </row>
    <row r="91" spans="1:51" x14ac:dyDescent="0.2">
      <c r="A91" s="31" t="s">
        <v>56</v>
      </c>
      <c r="B91" s="31">
        <f>B85*B89/10</f>
        <v>78.296451883478156</v>
      </c>
      <c r="C91" s="31">
        <f>C85*C89/10</f>
        <v>78.296451883478156</v>
      </c>
      <c r="R91" s="31" t="s">
        <v>56</v>
      </c>
      <c r="S91" s="31">
        <f>S85*S89/10</f>
        <v>133.31775207729623</v>
      </c>
      <c r="T91" s="31">
        <f>T85*T89/10</f>
        <v>167.89215925265225</v>
      </c>
      <c r="AK91" s="31" t="s">
        <v>56</v>
      </c>
      <c r="AL91" s="31">
        <f>AL85*AL89/10</f>
        <v>78.296451883478156</v>
      </c>
      <c r="AM91" s="31">
        <f>AM85*AM89/10</f>
        <v>78.296451883478156</v>
      </c>
    </row>
    <row r="92" spans="1:51" x14ac:dyDescent="0.2">
      <c r="A92" s="31" t="s">
        <v>57</v>
      </c>
      <c r="B92" s="31">
        <f>B84*F75/10</f>
        <v>245.7364</v>
      </c>
      <c r="C92" s="31">
        <f>C84*F75/10</f>
        <v>245.7364</v>
      </c>
      <c r="R92" s="31" t="s">
        <v>57</v>
      </c>
      <c r="S92" s="31">
        <f>S84*W75/10</f>
        <v>305.99660000000006</v>
      </c>
      <c r="T92" s="31">
        <f>T84*W75/10</f>
        <v>366.2568</v>
      </c>
      <c r="AK92" s="31" t="s">
        <v>57</v>
      </c>
      <c r="AL92" s="31">
        <f>AL84*AP75/10</f>
        <v>245.7364</v>
      </c>
      <c r="AM92" s="31">
        <f>AM84*AP75/10</f>
        <v>245.7364</v>
      </c>
    </row>
    <row r="93" spans="1:51" x14ac:dyDescent="0.2">
      <c r="A93" s="31" t="s">
        <v>58</v>
      </c>
      <c r="B93" s="31">
        <f>B92-B91-B90</f>
        <v>-0.1398150926489734</v>
      </c>
      <c r="C93" s="31">
        <f>C92-C91-C90</f>
        <v>-0.1398150926489734</v>
      </c>
      <c r="R93" s="31" t="s">
        <v>58</v>
      </c>
      <c r="S93" s="31">
        <f>S92-S91-S90</f>
        <v>-0.23806741442376733</v>
      </c>
      <c r="T93" s="31">
        <f>T92-T91-T90</f>
        <v>-0.2998074272369422</v>
      </c>
      <c r="AK93" s="31" t="s">
        <v>58</v>
      </c>
      <c r="AL93" s="31">
        <f>AL92-AL91-AL90</f>
        <v>-0.1398150926489734</v>
      </c>
      <c r="AM93" s="31">
        <f>AM92-AM91-AM90</f>
        <v>-0.1398150926489734</v>
      </c>
    </row>
    <row r="94" spans="1:51" x14ac:dyDescent="0.2">
      <c r="A94" s="31" t="s">
        <v>59</v>
      </c>
      <c r="B94" s="31">
        <f>(B92*(B76-B77)-B91*B77-B90*0.416*B86)/100</f>
        <v>131.0877095800702</v>
      </c>
      <c r="C94" s="31">
        <f>-(C92*(B76-B77)-C91*B77-C90*0.416*C86)/100</f>
        <v>-131.0877095800702</v>
      </c>
      <c r="R94" s="31" t="s">
        <v>59</v>
      </c>
      <c r="S94" s="31">
        <f>(S92*(S76-S77)-S91*S77-S90*0.416*S86)/100</f>
        <v>162.41301642428678</v>
      </c>
      <c r="T94" s="31">
        <f>-(T92*(S76-S77)-T91*S77-T90*0.416*T86)/100</f>
        <v>-193.61988810026659</v>
      </c>
      <c r="AK94" s="31" t="s">
        <v>59</v>
      </c>
      <c r="AL94" s="31">
        <f>(AL92*(AL76-AL77)-AL91*AL77-AL90*0.416*AL86)/100</f>
        <v>131.0877095800702</v>
      </c>
      <c r="AM94" s="31">
        <f>-(AM92*(AL76-AL77)-AM91*AL77-AM90*0.416*AM86)/100</f>
        <v>-131.0877095800702</v>
      </c>
    </row>
    <row r="95" spans="1:51" x14ac:dyDescent="0.2">
      <c r="A95" s="31" t="s">
        <v>32</v>
      </c>
      <c r="C95" s="31">
        <v>5</v>
      </c>
      <c r="L95" s="8">
        <v>1</v>
      </c>
      <c r="M95" s="8">
        <v>2</v>
      </c>
      <c r="N95" s="8">
        <v>2</v>
      </c>
      <c r="O95" s="8">
        <v>3</v>
      </c>
      <c r="R95" s="31" t="s">
        <v>32</v>
      </c>
      <c r="T95" s="31">
        <v>5</v>
      </c>
      <c r="AC95" s="8">
        <v>1</v>
      </c>
      <c r="AD95" s="8">
        <v>2</v>
      </c>
      <c r="AE95" s="8">
        <v>2</v>
      </c>
      <c r="AF95" s="8">
        <v>3</v>
      </c>
      <c r="AK95" s="31" t="s">
        <v>32</v>
      </c>
      <c r="AM95" s="31">
        <v>5</v>
      </c>
      <c r="AV95" s="8">
        <v>1</v>
      </c>
      <c r="AW95" s="8">
        <v>2</v>
      </c>
      <c r="AX95" s="8">
        <v>2</v>
      </c>
      <c r="AY95" s="8">
        <v>3</v>
      </c>
    </row>
    <row r="96" spans="1:51" x14ac:dyDescent="0.2">
      <c r="J96" s="31" t="s">
        <v>33</v>
      </c>
      <c r="L96" s="18" t="s">
        <v>22</v>
      </c>
      <c r="M96" s="18" t="s">
        <v>21</v>
      </c>
      <c r="N96" s="18" t="s">
        <v>21</v>
      </c>
      <c r="O96" s="18" t="s">
        <v>22</v>
      </c>
      <c r="AA96" s="31" t="s">
        <v>33</v>
      </c>
      <c r="AC96" s="18" t="s">
        <v>22</v>
      </c>
      <c r="AD96" s="18" t="s">
        <v>21</v>
      </c>
      <c r="AE96" s="18" t="s">
        <v>21</v>
      </c>
      <c r="AF96" s="18" t="s">
        <v>22</v>
      </c>
      <c r="AT96" s="31" t="s">
        <v>33</v>
      </c>
      <c r="AV96" s="18" t="s">
        <v>22</v>
      </c>
      <c r="AW96" s="18" t="s">
        <v>21</v>
      </c>
      <c r="AX96" s="18" t="s">
        <v>21</v>
      </c>
      <c r="AY96" s="18" t="s">
        <v>22</v>
      </c>
    </row>
    <row r="97" spans="1:51" x14ac:dyDescent="0.2">
      <c r="A97" s="31" t="s">
        <v>34</v>
      </c>
      <c r="B97" s="31">
        <v>30</v>
      </c>
      <c r="C97" s="31" t="s">
        <v>35</v>
      </c>
      <c r="E97" s="31" t="s">
        <v>36</v>
      </c>
      <c r="F97" s="31">
        <v>391.3</v>
      </c>
      <c r="G97" s="31" t="s">
        <v>37</v>
      </c>
      <c r="I97" s="31" t="s">
        <v>38</v>
      </c>
      <c r="J97" s="31" t="s">
        <v>4</v>
      </c>
      <c r="L97" s="18" t="s">
        <v>31</v>
      </c>
      <c r="M97" s="18" t="s">
        <v>23</v>
      </c>
      <c r="N97" s="18" t="s">
        <v>23</v>
      </c>
      <c r="O97" s="18" t="s">
        <v>31</v>
      </c>
      <c r="R97" s="31" t="s">
        <v>34</v>
      </c>
      <c r="S97" s="31">
        <v>30</v>
      </c>
      <c r="T97" s="31" t="s">
        <v>35</v>
      </c>
      <c r="V97" s="31" t="s">
        <v>36</v>
      </c>
      <c r="W97" s="31">
        <v>391.3</v>
      </c>
      <c r="X97" s="31" t="s">
        <v>37</v>
      </c>
      <c r="Z97" s="31" t="s">
        <v>38</v>
      </c>
      <c r="AA97" s="31" t="s">
        <v>4</v>
      </c>
      <c r="AC97" s="18" t="s">
        <v>31</v>
      </c>
      <c r="AD97" s="18" t="s">
        <v>23</v>
      </c>
      <c r="AE97" s="18" t="s">
        <v>23</v>
      </c>
      <c r="AF97" s="18" t="s">
        <v>31</v>
      </c>
      <c r="AK97" s="31" t="s">
        <v>34</v>
      </c>
      <c r="AL97" s="31">
        <v>30</v>
      </c>
      <c r="AM97" s="31" t="s">
        <v>35</v>
      </c>
      <c r="AO97" s="31" t="s">
        <v>36</v>
      </c>
      <c r="AP97" s="31">
        <v>391.3</v>
      </c>
      <c r="AQ97" s="31" t="s">
        <v>37</v>
      </c>
      <c r="AS97" s="31" t="s">
        <v>38</v>
      </c>
      <c r="AT97" s="31" t="s">
        <v>4</v>
      </c>
      <c r="AV97" s="18" t="s">
        <v>31</v>
      </c>
      <c r="AW97" s="18" t="s">
        <v>23</v>
      </c>
      <c r="AX97" s="18" t="s">
        <v>23</v>
      </c>
      <c r="AY97" s="18" t="s">
        <v>31</v>
      </c>
    </row>
    <row r="98" spans="1:51" x14ac:dyDescent="0.2">
      <c r="A98" s="31" t="s">
        <v>39</v>
      </c>
      <c r="B98" s="31">
        <v>50</v>
      </c>
      <c r="C98" s="31" t="s">
        <v>35</v>
      </c>
      <c r="E98" s="31" t="s">
        <v>40</v>
      </c>
      <c r="F98" s="31">
        <v>14.17</v>
      </c>
      <c r="G98" s="31" t="s">
        <v>37</v>
      </c>
      <c r="H98" s="31" t="s">
        <v>18</v>
      </c>
      <c r="I98" s="31">
        <v>12.5</v>
      </c>
      <c r="R98" s="31" t="s">
        <v>39</v>
      </c>
      <c r="S98" s="31">
        <v>50</v>
      </c>
      <c r="T98" s="31" t="s">
        <v>35</v>
      </c>
      <c r="V98" s="31" t="s">
        <v>40</v>
      </c>
      <c r="W98" s="31">
        <v>14.17</v>
      </c>
      <c r="X98" s="31" t="s">
        <v>37</v>
      </c>
      <c r="Y98" s="31" t="s">
        <v>18</v>
      </c>
      <c r="Z98" s="31">
        <v>12.5</v>
      </c>
      <c r="AK98" s="31" t="s">
        <v>39</v>
      </c>
      <c r="AL98" s="31">
        <v>50</v>
      </c>
      <c r="AM98" s="31" t="s">
        <v>35</v>
      </c>
      <c r="AO98" s="31" t="s">
        <v>40</v>
      </c>
      <c r="AP98" s="31">
        <v>14.17</v>
      </c>
      <c r="AQ98" s="31" t="s">
        <v>37</v>
      </c>
      <c r="AR98" s="31" t="s">
        <v>18</v>
      </c>
      <c r="AS98" s="31">
        <v>12.5</v>
      </c>
    </row>
    <row r="99" spans="1:51" x14ac:dyDescent="0.2">
      <c r="A99" s="31" t="s">
        <v>41</v>
      </c>
      <c r="B99" s="31">
        <v>4</v>
      </c>
      <c r="C99" s="31" t="s">
        <v>35</v>
      </c>
      <c r="H99" s="31" t="s">
        <v>19</v>
      </c>
      <c r="I99" s="31">
        <v>10.96</v>
      </c>
      <c r="R99" s="31" t="s">
        <v>41</v>
      </c>
      <c r="S99" s="31">
        <v>4</v>
      </c>
      <c r="T99" s="31" t="s">
        <v>35</v>
      </c>
      <c r="Y99" s="31" t="s">
        <v>19</v>
      </c>
      <c r="Z99" s="31">
        <v>10.96</v>
      </c>
      <c r="AK99" s="31" t="s">
        <v>41</v>
      </c>
      <c r="AL99" s="31">
        <v>4</v>
      </c>
      <c r="AM99" s="31" t="s">
        <v>35</v>
      </c>
      <c r="AR99" s="31" t="s">
        <v>19</v>
      </c>
      <c r="AS99" s="31">
        <v>10.96</v>
      </c>
    </row>
    <row r="100" spans="1:51" x14ac:dyDescent="0.2">
      <c r="A100" s="31" t="s">
        <v>42</v>
      </c>
      <c r="B100" s="31">
        <f>B98-B99</f>
        <v>46</v>
      </c>
      <c r="C100" s="31" t="s">
        <v>35</v>
      </c>
      <c r="H100" s="31" t="s">
        <v>20</v>
      </c>
      <c r="I100" s="31">
        <v>9.36</v>
      </c>
      <c r="R100" s="31" t="s">
        <v>42</v>
      </c>
      <c r="S100" s="31">
        <f>S98-S99</f>
        <v>46</v>
      </c>
      <c r="T100" s="31" t="s">
        <v>35</v>
      </c>
      <c r="Y100" s="31" t="s">
        <v>20</v>
      </c>
      <c r="Z100" s="31">
        <v>9.36</v>
      </c>
      <c r="AK100" s="31" t="s">
        <v>42</v>
      </c>
      <c r="AL100" s="31">
        <f>AL98-AL99</f>
        <v>46</v>
      </c>
      <c r="AM100" s="31" t="s">
        <v>35</v>
      </c>
      <c r="AR100" s="31" t="s">
        <v>20</v>
      </c>
      <c r="AS100" s="31">
        <v>9.36</v>
      </c>
    </row>
    <row r="101" spans="1:51" x14ac:dyDescent="0.2">
      <c r="H101" s="31" t="s">
        <v>21</v>
      </c>
      <c r="I101" s="31">
        <v>7.82</v>
      </c>
      <c r="Y101" s="31" t="s">
        <v>21</v>
      </c>
      <c r="Z101" s="31">
        <v>7.82</v>
      </c>
      <c r="AR101" s="31" t="s">
        <v>21</v>
      </c>
      <c r="AS101" s="31">
        <v>7.82</v>
      </c>
    </row>
    <row r="102" spans="1:51" x14ac:dyDescent="0.2">
      <c r="H102" s="31" t="s">
        <v>22</v>
      </c>
      <c r="I102" s="31">
        <v>6.28</v>
      </c>
      <c r="Y102" s="31" t="s">
        <v>22</v>
      </c>
      <c r="Z102" s="31">
        <v>6.28</v>
      </c>
      <c r="AR102" s="31" t="s">
        <v>22</v>
      </c>
      <c r="AS102" s="31">
        <v>6.28</v>
      </c>
    </row>
    <row r="103" spans="1:51" x14ac:dyDescent="0.2">
      <c r="H103" s="31" t="s">
        <v>23</v>
      </c>
      <c r="I103" s="31">
        <v>4.62</v>
      </c>
      <c r="L103" s="31" t="s">
        <v>43</v>
      </c>
      <c r="M103" s="31">
        <f>((B106-B107)*F97)/(0.81*B97*F98)</f>
        <v>-3.6365009249820668</v>
      </c>
      <c r="O103" s="31">
        <f>B105</f>
        <v>9</v>
      </c>
      <c r="Y103" s="31" t="s">
        <v>23</v>
      </c>
      <c r="Z103" s="31">
        <v>4.62</v>
      </c>
      <c r="AC103" s="31" t="s">
        <v>43</v>
      </c>
      <c r="AD103" s="31">
        <f>((S106-S107)*W97)/(0.81*S97*W98)</f>
        <v>-3.6365009249820668</v>
      </c>
      <c r="AF103" s="31">
        <f>S105</f>
        <v>9</v>
      </c>
      <c r="AR103" s="31" t="s">
        <v>23</v>
      </c>
      <c r="AS103" s="31">
        <v>4.62</v>
      </c>
      <c r="AV103" s="31" t="s">
        <v>43</v>
      </c>
      <c r="AW103" s="31">
        <f>((AL106-AL107)*AP97)/(0.81*AL97*AP98)</f>
        <v>-3.6365009249820668</v>
      </c>
      <c r="AY103" s="31">
        <f>AL105</f>
        <v>9</v>
      </c>
    </row>
    <row r="104" spans="1:51" x14ac:dyDescent="0.2">
      <c r="H104" s="31" t="s">
        <v>31</v>
      </c>
      <c r="I104" s="31">
        <v>3.08</v>
      </c>
      <c r="L104" s="31" t="s">
        <v>44</v>
      </c>
      <c r="M104" s="31">
        <f>B107/B106</f>
        <v>2.0389610389610389</v>
      </c>
      <c r="N104" s="31" t="s">
        <v>45</v>
      </c>
      <c r="O104" s="31">
        <f>(0.0035/0.00196)*M104</f>
        <v>3.6410018552875698</v>
      </c>
      <c r="Y104" s="31" t="s">
        <v>31</v>
      </c>
      <c r="Z104" s="31">
        <v>3.08</v>
      </c>
      <c r="AC104" s="31" t="s">
        <v>44</v>
      </c>
      <c r="AD104" s="31">
        <f>S107/S106</f>
        <v>1.6926406926406927</v>
      </c>
      <c r="AE104" s="31" t="s">
        <v>45</v>
      </c>
      <c r="AF104" s="31">
        <f>(0.0035/0.00196)*AD104</f>
        <v>3.0225726654298084</v>
      </c>
      <c r="AR104" s="31" t="s">
        <v>31</v>
      </c>
      <c r="AS104" s="31">
        <v>3.08</v>
      </c>
      <c r="AV104" s="31" t="s">
        <v>44</v>
      </c>
      <c r="AW104" s="31">
        <f>AL107/AL106</f>
        <v>2.0389610389610389</v>
      </c>
      <c r="AX104" s="31" t="s">
        <v>45</v>
      </c>
      <c r="AY104" s="31">
        <f>(0.0035/0.00196)*AW104</f>
        <v>3.6410018552875698</v>
      </c>
    </row>
    <row r="105" spans="1:51" x14ac:dyDescent="0.2">
      <c r="B105" s="31">
        <v>9</v>
      </c>
      <c r="C105" s="31" t="s">
        <v>46</v>
      </c>
      <c r="L105" s="31" t="s">
        <v>47</v>
      </c>
      <c r="M105" s="31">
        <f>(B106*F97)/(B97*B100*F98)</f>
        <v>6.1632761600850954E-2</v>
      </c>
      <c r="S105" s="31">
        <v>9</v>
      </c>
      <c r="T105" s="31" t="s">
        <v>46</v>
      </c>
      <c r="AC105" s="31" t="s">
        <v>47</v>
      </c>
      <c r="AD105" s="31">
        <f>(S106*W97)/(S97*S100*W98)</f>
        <v>9.2449142401276441E-2</v>
      </c>
      <c r="AL105" s="31">
        <v>9</v>
      </c>
      <c r="AM105" s="31" t="s">
        <v>46</v>
      </c>
      <c r="AV105" s="31" t="s">
        <v>47</v>
      </c>
      <c r="AW105" s="31">
        <f>(AL106*AP97)/(AL97*AL100*AP98)</f>
        <v>6.1632761600850954E-2</v>
      </c>
    </row>
    <row r="106" spans="1:51" x14ac:dyDescent="0.2">
      <c r="A106" s="31" t="s">
        <v>48</v>
      </c>
      <c r="B106" s="31">
        <f>I104</f>
        <v>3.08</v>
      </c>
      <c r="C106" s="31">
        <f>B107</f>
        <v>6.28</v>
      </c>
      <c r="L106" s="31" t="s">
        <v>49</v>
      </c>
      <c r="M106" s="31">
        <f>(M105/(2*0.81))*((1-O104)+SQRT(((1-O104)^2)+((4*0.81*O104/M105)*B99/B100)))*B100</f>
        <v>3.8832569443279761</v>
      </c>
      <c r="R106" s="31" t="s">
        <v>48</v>
      </c>
      <c r="S106" s="31">
        <f>Z103</f>
        <v>4.62</v>
      </c>
      <c r="T106" s="31">
        <f>S107</f>
        <v>7.82</v>
      </c>
      <c r="AC106" s="31" t="s">
        <v>49</v>
      </c>
      <c r="AD106" s="31">
        <f>(AD105/(2*0.81))*((1-AF104)+SQRT(((1-AF104)^2)+((4*0.81*AF104/AD105)*S99/S100)))*S100</f>
        <v>4.2648202169742033</v>
      </c>
      <c r="AK106" s="31" t="s">
        <v>48</v>
      </c>
      <c r="AL106" s="31">
        <f>AS104</f>
        <v>3.08</v>
      </c>
      <c r="AM106" s="31">
        <f>AL107</f>
        <v>6.28</v>
      </c>
      <c r="AV106" s="31" t="s">
        <v>49</v>
      </c>
      <c r="AW106" s="31">
        <f>(AW105/(2*0.81))*((1-AY104)+SQRT(((1-AY104)^2)+((4*0.81*AY104/AW105)*AL99/AL100)))*AL100</f>
        <v>3.8832569443279761</v>
      </c>
    </row>
    <row r="107" spans="1:51" x14ac:dyDescent="0.2">
      <c r="A107" s="31" t="s">
        <v>50</v>
      </c>
      <c r="B107" s="31">
        <f>I102</f>
        <v>6.28</v>
      </c>
      <c r="C107" s="31">
        <f>B106</f>
        <v>3.08</v>
      </c>
      <c r="R107" s="31" t="s">
        <v>50</v>
      </c>
      <c r="S107" s="31">
        <f>Z101</f>
        <v>7.82</v>
      </c>
      <c r="T107" s="31">
        <f>S106</f>
        <v>4.62</v>
      </c>
      <c r="AK107" s="31" t="s">
        <v>50</v>
      </c>
      <c r="AL107" s="31">
        <f>AS102</f>
        <v>6.28</v>
      </c>
      <c r="AM107" s="31">
        <f>AL106</f>
        <v>3.08</v>
      </c>
    </row>
    <row r="108" spans="1:51" x14ac:dyDescent="0.2">
      <c r="A108" s="31" t="s">
        <v>51</v>
      </c>
      <c r="B108" s="31">
        <f>M106</f>
        <v>3.8832569443279761</v>
      </c>
      <c r="C108" s="31">
        <f>M111</f>
        <v>5.4628966302146518</v>
      </c>
      <c r="L108" s="31" t="s">
        <v>43</v>
      </c>
      <c r="M108" s="31">
        <f>((C106-C107)*F97)/(0.81*B97*F98)</f>
        <v>3.6365009249820668</v>
      </c>
      <c r="O108" s="31" t="str">
        <f>C105</f>
        <v>9'</v>
      </c>
      <c r="R108" s="31" t="s">
        <v>51</v>
      </c>
      <c r="S108" s="31">
        <f>AD106</f>
        <v>4.2648202169742033</v>
      </c>
      <c r="T108" s="31">
        <f>AD111</f>
        <v>5.8843846668102167</v>
      </c>
      <c r="AC108" s="31" t="s">
        <v>43</v>
      </c>
      <c r="AD108" s="31">
        <f>((T106-T107)*W97)/(0.81*S97*W98)</f>
        <v>3.6365009249820668</v>
      </c>
      <c r="AF108" s="31" t="str">
        <f>T105</f>
        <v>9'</v>
      </c>
      <c r="AK108" s="31" t="s">
        <v>51</v>
      </c>
      <c r="AL108" s="31">
        <f>AW106</f>
        <v>3.8832569443279761</v>
      </c>
      <c r="AM108" s="31">
        <f>AW111</f>
        <v>5.4628966302146518</v>
      </c>
      <c r="AV108" s="31" t="s">
        <v>43</v>
      </c>
      <c r="AW108" s="31">
        <f>((AM106-AM107)*AP97)/(0.81*AL97*AP98)</f>
        <v>3.6365009249820668</v>
      </c>
      <c r="AY108" s="31" t="str">
        <f>AM105</f>
        <v>9'</v>
      </c>
    </row>
    <row r="109" spans="1:51" x14ac:dyDescent="0.2">
      <c r="A109" s="31" t="s">
        <v>52</v>
      </c>
      <c r="B109" s="31">
        <f>(B108-B99)/B108*0.0035</f>
        <v>-1.0522113285573352E-4</v>
      </c>
      <c r="C109" s="31">
        <f>(C108-B99)/C108*0.0035</f>
        <v>9.3725701808677593E-4</v>
      </c>
      <c r="L109" s="31" t="s">
        <v>44</v>
      </c>
      <c r="M109" s="31">
        <f>C107/C106</f>
        <v>0.49044585987261147</v>
      </c>
      <c r="N109" s="31" t="s">
        <v>45</v>
      </c>
      <c r="O109" s="31">
        <f>(0.0035/0.00196)*M109</f>
        <v>0.87579617834394907</v>
      </c>
      <c r="R109" s="31" t="s">
        <v>52</v>
      </c>
      <c r="S109" s="31">
        <f>(S108-S99)/S108*0.0035</f>
        <v>2.1732938605963236E-4</v>
      </c>
      <c r="T109" s="31">
        <f>(T108-S99)/T108*0.0035</f>
        <v>1.1208217523636056E-3</v>
      </c>
      <c r="AC109" s="31" t="s">
        <v>44</v>
      </c>
      <c r="AD109" s="31">
        <f>T107/T106</f>
        <v>0.59079283887468026</v>
      </c>
      <c r="AE109" s="31" t="s">
        <v>45</v>
      </c>
      <c r="AF109" s="31">
        <f>(0.0035/0.00196)*AD109</f>
        <v>1.0549872122762147</v>
      </c>
      <c r="AK109" s="31" t="s">
        <v>52</v>
      </c>
      <c r="AL109" s="31">
        <f>(AL108-AL99)/AL108*0.0035</f>
        <v>-1.0522113285573352E-4</v>
      </c>
      <c r="AM109" s="31">
        <f>(AM108-AL99)/AM108*0.0035</f>
        <v>9.3725701808677593E-4</v>
      </c>
      <c r="AV109" s="31" t="s">
        <v>44</v>
      </c>
      <c r="AW109" s="31">
        <f>AM107/AM106</f>
        <v>0.49044585987261147</v>
      </c>
      <c r="AX109" s="31" t="s">
        <v>45</v>
      </c>
      <c r="AY109" s="31">
        <f>(0.0035/0.00196)*AW109</f>
        <v>0.87579617834394907</v>
      </c>
    </row>
    <row r="110" spans="1:51" x14ac:dyDescent="0.2">
      <c r="A110" s="31" t="s">
        <v>53</v>
      </c>
      <c r="B110" s="31">
        <f>B109*200000</f>
        <v>-21.044226571146705</v>
      </c>
      <c r="C110" s="31">
        <f>C109*200000</f>
        <v>187.4514036173552</v>
      </c>
      <c r="L110" s="31" t="s">
        <v>47</v>
      </c>
      <c r="M110" s="31">
        <f>(C106*F97)/(B97*B100*F98)</f>
        <v>0.1256667996277091</v>
      </c>
      <c r="R110" s="31" t="s">
        <v>53</v>
      </c>
      <c r="S110" s="31">
        <f>S109*200000</f>
        <v>43.465877211926475</v>
      </c>
      <c r="T110" s="31">
        <f>T109*200000</f>
        <v>224.16435047272111</v>
      </c>
      <c r="AC110" s="31" t="s">
        <v>47</v>
      </c>
      <c r="AD110" s="31">
        <f>(T106*W97)/(S97*S100*W98)</f>
        <v>0.15648318042813458</v>
      </c>
      <c r="AK110" s="31" t="s">
        <v>53</v>
      </c>
      <c r="AL110" s="31">
        <f>AL109*200000</f>
        <v>-21.044226571146705</v>
      </c>
      <c r="AM110" s="31">
        <f>AM109*200000</f>
        <v>187.4514036173552</v>
      </c>
      <c r="AV110" s="31" t="s">
        <v>47</v>
      </c>
      <c r="AW110" s="31">
        <f>(AM106*AP97)/(AL97*AL100*AP98)</f>
        <v>0.1256667996277091</v>
      </c>
    </row>
    <row r="111" spans="1:51" x14ac:dyDescent="0.2">
      <c r="A111" s="31" t="s">
        <v>54</v>
      </c>
      <c r="B111" s="31">
        <f>IF(ABS(B110)&gt;F97,F97*SIGN(B110),B110)</f>
        <v>-21.044226571146705</v>
      </c>
      <c r="C111" s="31">
        <f>IF(ABS(C110)&gt;F97,F97*SIGN(C110),C110)</f>
        <v>187.4514036173552</v>
      </c>
      <c r="L111" s="31" t="s">
        <v>49</v>
      </c>
      <c r="M111" s="31">
        <f>(M110/(2*0.81))*((1-O109)+SQRT(((1-O109)^2)+((4*0.81*O109/M110)*B99/B100)))*B100</f>
        <v>5.4628966302146518</v>
      </c>
      <c r="R111" s="31" t="s">
        <v>54</v>
      </c>
      <c r="S111" s="31">
        <f>IF(ABS(S110)&gt;W97,W97*SIGN(S110),S110)</f>
        <v>43.465877211926475</v>
      </c>
      <c r="T111" s="31">
        <f>IF(ABS(T110)&gt;W97,W97*SIGN(T110),T110)</f>
        <v>224.16435047272111</v>
      </c>
      <c r="AC111" s="31" t="s">
        <v>49</v>
      </c>
      <c r="AD111" s="31">
        <f>(AD110/(2*0.81))*((1-AF109)+SQRT(((1-AF109)^2)+((4*0.81*AF109/AD110)*S99/S100)))*S100</f>
        <v>5.8843846668102167</v>
      </c>
      <c r="AK111" s="31" t="s">
        <v>54</v>
      </c>
      <c r="AL111" s="31">
        <f>IF(ABS(AL110)&gt;AP97,AP97*SIGN(AL110),AL110)</f>
        <v>-21.044226571146705</v>
      </c>
      <c r="AM111" s="31">
        <f>IF(ABS(AM110)&gt;AP97,AP97*SIGN(AM110),AM110)</f>
        <v>187.4514036173552</v>
      </c>
      <c r="AV111" s="31" t="s">
        <v>49</v>
      </c>
      <c r="AW111" s="31">
        <f>(AW110/(2*0.81))*((1-AY109)+SQRT(((1-AY109)^2)+((4*0.81*AY109/AW110)*AL99/AL100)))*AL100</f>
        <v>5.4628966302146518</v>
      </c>
    </row>
    <row r="112" spans="1:51" x14ac:dyDescent="0.2">
      <c r="A112" s="31" t="s">
        <v>55</v>
      </c>
      <c r="B112" s="31">
        <f>0.81*B97*B108*F98/10</f>
        <v>133.71257468973963</v>
      </c>
      <c r="C112" s="31">
        <f>0.81*B97*C108*F98/10</f>
        <v>188.10446595784416</v>
      </c>
      <c r="R112" s="31" t="s">
        <v>55</v>
      </c>
      <c r="S112" s="31">
        <f>0.81*S97*S108*W98/10</f>
        <v>146.85098101309444</v>
      </c>
      <c r="T112" s="31">
        <f>0.81*S97*T108*W98/10</f>
        <v>202.61760567074288</v>
      </c>
      <c r="AK112" s="31" t="s">
        <v>55</v>
      </c>
      <c r="AL112" s="31">
        <f>0.81*AL97*AL108*AP98/10</f>
        <v>133.71257468973963</v>
      </c>
      <c r="AM112" s="31">
        <f>0.81*AL97*AM108*AP98/10</f>
        <v>188.10446595784416</v>
      </c>
    </row>
    <row r="113" spans="1:39" x14ac:dyDescent="0.2">
      <c r="A113" s="31" t="s">
        <v>56</v>
      </c>
      <c r="B113" s="31">
        <f>B107*B111/10</f>
        <v>-13.21577428668013</v>
      </c>
      <c r="C113" s="31">
        <f>C107*C111/10</f>
        <v>57.735032314145407</v>
      </c>
      <c r="R113" s="31" t="s">
        <v>56</v>
      </c>
      <c r="S113" s="31">
        <f>S107*S111/10</f>
        <v>33.990315979726503</v>
      </c>
      <c r="T113" s="31">
        <f>T107*T111/10</f>
        <v>103.56392991839716</v>
      </c>
      <c r="AK113" s="31" t="s">
        <v>56</v>
      </c>
      <c r="AL113" s="31">
        <f>AL107*AL111/10</f>
        <v>-13.21577428668013</v>
      </c>
      <c r="AM113" s="31">
        <f>AM107*AM111/10</f>
        <v>57.735032314145407</v>
      </c>
    </row>
    <row r="114" spans="1:39" x14ac:dyDescent="0.2">
      <c r="A114" s="31" t="s">
        <v>57</v>
      </c>
      <c r="B114" s="31">
        <f>B106*F97/10</f>
        <v>120.5204</v>
      </c>
      <c r="C114" s="31">
        <f>C106*F97/10</f>
        <v>245.7364</v>
      </c>
      <c r="R114" s="31" t="s">
        <v>57</v>
      </c>
      <c r="S114" s="31">
        <f>S106*W97/10</f>
        <v>180.78059999999999</v>
      </c>
      <c r="T114" s="31">
        <f>T106*W97/10</f>
        <v>305.99660000000006</v>
      </c>
      <c r="AK114" s="31" t="s">
        <v>57</v>
      </c>
      <c r="AL114" s="31">
        <f>AL106*AP97/10</f>
        <v>120.5204</v>
      </c>
      <c r="AM114" s="31">
        <f>AM106*AP97/10</f>
        <v>245.7364</v>
      </c>
    </row>
    <row r="115" spans="1:39" x14ac:dyDescent="0.2">
      <c r="A115" s="31" t="s">
        <v>58</v>
      </c>
      <c r="B115" s="31">
        <f>B114-B113-B112</f>
        <v>2.3599596940499623E-2</v>
      </c>
      <c r="C115" s="31">
        <f>C114-C113-C112</f>
        <v>-0.1030982719895519</v>
      </c>
      <c r="R115" s="31" t="s">
        <v>58</v>
      </c>
      <c r="S115" s="31">
        <f>S114-S113-S112</f>
        <v>-6.0696992820965079E-2</v>
      </c>
      <c r="T115" s="31">
        <f>T114-T113-T112</f>
        <v>-0.18493558913996822</v>
      </c>
      <c r="AK115" s="31" t="s">
        <v>58</v>
      </c>
      <c r="AL115" s="31">
        <f>AL114-AL113-AL112</f>
        <v>2.3599596940499623E-2</v>
      </c>
      <c r="AM115" s="31">
        <f>AM114-AM113-AM112</f>
        <v>-0.1030982719895519</v>
      </c>
    </row>
    <row r="116" spans="1:39" x14ac:dyDescent="0.2">
      <c r="A116" s="31" t="s">
        <v>59</v>
      </c>
      <c r="B116" s="31">
        <f>(B114*(B98-B99)-B113*B99-B112*0.416*B108)/100</f>
        <v>53.807975389162323</v>
      </c>
      <c r="C116" s="31">
        <f>-(C114*(B98-B99)-C113*B99-C112*0.416*C108)/100</f>
        <v>-106.45454645408294</v>
      </c>
      <c r="R116" s="31" t="s">
        <v>59</v>
      </c>
      <c r="S116" s="31">
        <f>(S114*(S98-S99)-S113*S99-S112*0.416*S108)/100</f>
        <v>79.194084344749228</v>
      </c>
      <c r="T116" s="31">
        <f>-(T114*(S98-S99)-T113*S99-T112*0.416*T108)/100</f>
        <v>-131.6559942859997</v>
      </c>
      <c r="AK116" s="31" t="s">
        <v>59</v>
      </c>
      <c r="AL116" s="31">
        <f>(AL114*(AL98-AL99)-AL113*AL99-AL112*0.416*AL108)/100</f>
        <v>53.807975389162323</v>
      </c>
      <c r="AM116" s="31">
        <f>-(AM114*(AL98-AL99)-AM113*AL99-AM112*0.416*AM108)/100</f>
        <v>-106.45454645408294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NODO</vt:lpstr>
      <vt:lpstr>telaio 6</vt:lpstr>
      <vt:lpstr>telaio 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2017-01-18T07:19:01Z</dcterms:created>
  <dcterms:modified xsi:type="dcterms:W3CDTF">2017-02-13T17:10:54Z</dcterms:modified>
</cp:coreProperties>
</file>